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OMINA FIJA OCTUBRE 2023" sheetId="1" r:id="rId1"/>
  </sheets>
  <definedNames>
    <definedName name="_xlnm._FilterDatabase" localSheetId="0" hidden="1">'NOMINA FIJA OCTUBRE 2023'!$A$15:$AE$629</definedName>
    <definedName name="_xlnm.Print_Area" localSheetId="0">'NOMINA FIJA OCTUBRE 2023'!$A$1:$AE$664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8" i="1" l="1"/>
  <c r="L105" i="1"/>
  <c r="S105" i="1" s="1"/>
  <c r="K105" i="1"/>
  <c r="R105" i="1" s="1"/>
  <c r="T105" i="1" s="1"/>
  <c r="L60" i="1"/>
  <c r="S60" i="1" s="1"/>
  <c r="K60" i="1"/>
  <c r="R60" i="1" s="1"/>
  <c r="T60" i="1" s="1"/>
  <c r="L304" i="1"/>
  <c r="S304" i="1" s="1"/>
  <c r="K304" i="1"/>
  <c r="Q304" i="1" s="1"/>
  <c r="L99" i="1"/>
  <c r="S99" i="1" s="1"/>
  <c r="K99" i="1"/>
  <c r="Q99" i="1" s="1"/>
  <c r="L72" i="1"/>
  <c r="S72" i="1" s="1"/>
  <c r="K72" i="1"/>
  <c r="Q72" i="1" s="1"/>
  <c r="L56" i="1"/>
  <c r="S56" i="1" s="1"/>
  <c r="K56" i="1"/>
  <c r="Q56" i="1" s="1"/>
  <c r="J629" i="1"/>
  <c r="J628" i="1"/>
  <c r="J624" i="1"/>
  <c r="J623" i="1"/>
  <c r="J618" i="1"/>
  <c r="J612" i="1"/>
  <c r="J611" i="1"/>
  <c r="J604" i="1"/>
  <c r="J602" i="1"/>
  <c r="J600" i="1"/>
  <c r="J592" i="1"/>
  <c r="J591" i="1"/>
  <c r="J588" i="1"/>
  <c r="J586" i="1"/>
  <c r="J582" i="1"/>
  <c r="J583" i="1"/>
  <c r="J569" i="1"/>
  <c r="J565" i="1"/>
  <c r="J560" i="1"/>
  <c r="J550" i="1"/>
  <c r="J542" i="1"/>
  <c r="J538" i="1"/>
  <c r="J532" i="1"/>
  <c r="J521" i="1"/>
  <c r="J516" i="1"/>
  <c r="J515" i="1"/>
  <c r="J512" i="1"/>
  <c r="J509" i="1"/>
  <c r="J503" i="1"/>
  <c r="J502" i="1"/>
  <c r="J495" i="1"/>
  <c r="J480" i="1"/>
  <c r="J479" i="1"/>
  <c r="J467" i="1"/>
  <c r="J461" i="1"/>
  <c r="J460" i="1"/>
  <c r="J456" i="1"/>
  <c r="J451" i="1"/>
  <c r="J447" i="1"/>
  <c r="J445" i="1"/>
  <c r="J441" i="1"/>
  <c r="J435" i="1"/>
  <c r="J434" i="1"/>
  <c r="J426" i="1"/>
  <c r="J422" i="1"/>
  <c r="J420" i="1"/>
  <c r="J412" i="1"/>
  <c r="J401" i="1"/>
  <c r="J391" i="1"/>
  <c r="J390" i="1"/>
  <c r="J381" i="1"/>
  <c r="J380" i="1"/>
  <c r="J376" i="1"/>
  <c r="J365" i="1"/>
  <c r="J363" i="1"/>
  <c r="J356" i="1"/>
  <c r="J355" i="1"/>
  <c r="J350" i="1"/>
  <c r="J346" i="1"/>
  <c r="J341" i="1"/>
  <c r="J340" i="1"/>
  <c r="J339" i="1"/>
  <c r="J338" i="1"/>
  <c r="J337" i="1"/>
  <c r="J333" i="1"/>
  <c r="J326" i="1"/>
  <c r="J322" i="1"/>
  <c r="J320" i="1"/>
  <c r="J318" i="1"/>
  <c r="J313" i="1"/>
  <c r="J311" i="1"/>
  <c r="J302" i="1"/>
  <c r="J300" i="1"/>
  <c r="J297" i="1"/>
  <c r="J296" i="1"/>
  <c r="J284" i="1"/>
  <c r="J283" i="1"/>
  <c r="J281" i="1"/>
  <c r="J280" i="1"/>
  <c r="J276" i="1"/>
  <c r="J274" i="1"/>
  <c r="Q105" i="1" l="1"/>
  <c r="Q60" i="1"/>
  <c r="R304" i="1"/>
  <c r="T304" i="1" s="1"/>
  <c r="R99" i="1"/>
  <c r="T99" i="1" s="1"/>
  <c r="R72" i="1"/>
  <c r="T72" i="1" s="1"/>
  <c r="R56" i="1"/>
  <c r="T56" i="1" s="1"/>
  <c r="J271" i="1"/>
  <c r="J264" i="1"/>
  <c r="J257" i="1"/>
  <c r="J255" i="1"/>
  <c r="J248" i="1"/>
  <c r="J247" i="1"/>
  <c r="J245" i="1"/>
  <c r="J239" i="1"/>
  <c r="J236" i="1"/>
  <c r="J238" i="1"/>
  <c r="J231" i="1"/>
  <c r="J227" i="1"/>
  <c r="J222" i="1"/>
  <c r="J221" i="1"/>
  <c r="J215" i="1"/>
  <c r="J214" i="1"/>
  <c r="J205" i="1"/>
  <c r="J203" i="1"/>
  <c r="J201" i="1"/>
  <c r="J197" i="1"/>
  <c r="J193" i="1"/>
  <c r="J191" i="1"/>
  <c r="J190" i="1"/>
  <c r="J177" i="1"/>
  <c r="J172" i="1"/>
  <c r="J166" i="1"/>
  <c r="J161" i="1"/>
  <c r="J160" i="1"/>
  <c r="J157" i="1"/>
  <c r="J152" i="1"/>
  <c r="J150" i="1"/>
  <c r="J142" i="1"/>
  <c r="J136" i="1"/>
  <c r="J130" i="1"/>
  <c r="J121" i="1"/>
  <c r="J119" i="1"/>
  <c r="J116" i="1"/>
  <c r="J114" i="1"/>
  <c r="J110" i="1"/>
  <c r="J109" i="1"/>
  <c r="J97" i="1"/>
  <c r="J85" i="1"/>
  <c r="J78" i="1"/>
  <c r="J67" i="1"/>
  <c r="J66" i="1"/>
  <c r="J64" i="1"/>
  <c r="J55" i="1"/>
  <c r="J54" i="1"/>
  <c r="J52" i="1"/>
  <c r="J48" i="1"/>
  <c r="J45" i="1"/>
  <c r="J41" i="1"/>
  <c r="J40" i="1"/>
  <c r="J34" i="1"/>
  <c r="J33" i="1"/>
  <c r="J32" i="1"/>
  <c r="J29" i="1"/>
  <c r="J28" i="1"/>
  <c r="J26" i="1"/>
  <c r="J25" i="1"/>
  <c r="N632" i="1" l="1"/>
  <c r="M632" i="1"/>
  <c r="I632" i="1"/>
  <c r="H632" i="1"/>
  <c r="G632" i="1"/>
  <c r="F632" i="1"/>
  <c r="L629" i="1"/>
  <c r="S629" i="1" s="1"/>
  <c r="K629" i="1"/>
  <c r="L628" i="1"/>
  <c r="S628" i="1" s="1"/>
  <c r="K628" i="1"/>
  <c r="Q628" i="1" s="1"/>
  <c r="L627" i="1"/>
  <c r="S627" i="1" s="1"/>
  <c r="K627" i="1"/>
  <c r="Q627" i="1" s="1"/>
  <c r="L626" i="1"/>
  <c r="S626" i="1" s="1"/>
  <c r="K626" i="1"/>
  <c r="R626" i="1" s="1"/>
  <c r="T626" i="1" s="1"/>
  <c r="L625" i="1"/>
  <c r="S625" i="1" s="1"/>
  <c r="K625" i="1"/>
  <c r="R625" i="1" s="1"/>
  <c r="T625" i="1" s="1"/>
  <c r="L624" i="1"/>
  <c r="S624" i="1" s="1"/>
  <c r="K624" i="1"/>
  <c r="L623" i="1"/>
  <c r="S623" i="1" s="1"/>
  <c r="K623" i="1"/>
  <c r="Q623" i="1" s="1"/>
  <c r="L622" i="1"/>
  <c r="S622" i="1" s="1"/>
  <c r="K622" i="1"/>
  <c r="Q622" i="1" s="1"/>
  <c r="L621" i="1"/>
  <c r="S621" i="1" s="1"/>
  <c r="K621" i="1"/>
  <c r="R621" i="1" s="1"/>
  <c r="T621" i="1" s="1"/>
  <c r="L620" i="1"/>
  <c r="S620" i="1" s="1"/>
  <c r="K620" i="1"/>
  <c r="R620" i="1" s="1"/>
  <c r="T620" i="1" s="1"/>
  <c r="L619" i="1"/>
  <c r="S619" i="1" s="1"/>
  <c r="K619" i="1"/>
  <c r="L618" i="1"/>
  <c r="S618" i="1" s="1"/>
  <c r="K618" i="1"/>
  <c r="Q618" i="1" s="1"/>
  <c r="O617" i="1"/>
  <c r="O632" i="1" s="1"/>
  <c r="L617" i="1"/>
  <c r="K617" i="1"/>
  <c r="Q617" i="1" s="1"/>
  <c r="L616" i="1"/>
  <c r="S616" i="1" s="1"/>
  <c r="K616" i="1"/>
  <c r="Q616" i="1" s="1"/>
  <c r="L615" i="1"/>
  <c r="S615" i="1" s="1"/>
  <c r="K615" i="1"/>
  <c r="R615" i="1" s="1"/>
  <c r="T615" i="1" s="1"/>
  <c r="L614" i="1"/>
  <c r="S614" i="1" s="1"/>
  <c r="K614" i="1"/>
  <c r="L613" i="1"/>
  <c r="S613" i="1" s="1"/>
  <c r="K613" i="1"/>
  <c r="L612" i="1"/>
  <c r="S612" i="1" s="1"/>
  <c r="K612" i="1"/>
  <c r="R612" i="1" s="1"/>
  <c r="T612" i="1" s="1"/>
  <c r="L611" i="1"/>
  <c r="S611" i="1" s="1"/>
  <c r="K611" i="1"/>
  <c r="L610" i="1"/>
  <c r="S610" i="1" s="1"/>
  <c r="K610" i="1"/>
  <c r="R610" i="1" s="1"/>
  <c r="T610" i="1" s="1"/>
  <c r="L609" i="1"/>
  <c r="S609" i="1" s="1"/>
  <c r="K609" i="1"/>
  <c r="L608" i="1"/>
  <c r="S608" i="1" s="1"/>
  <c r="K608" i="1"/>
  <c r="L607" i="1"/>
  <c r="S607" i="1" s="1"/>
  <c r="K607" i="1"/>
  <c r="Q607" i="1" s="1"/>
  <c r="J607" i="1"/>
  <c r="L606" i="1"/>
  <c r="S606" i="1" s="1"/>
  <c r="K606" i="1"/>
  <c r="Q606" i="1" s="1"/>
  <c r="L605" i="1"/>
  <c r="S605" i="1" s="1"/>
  <c r="K605" i="1"/>
  <c r="Q605" i="1" s="1"/>
  <c r="L604" i="1"/>
  <c r="S604" i="1" s="1"/>
  <c r="K604" i="1"/>
  <c r="Q604" i="1" s="1"/>
  <c r="L603" i="1"/>
  <c r="S603" i="1" s="1"/>
  <c r="K603" i="1"/>
  <c r="L602" i="1"/>
  <c r="S602" i="1" s="1"/>
  <c r="K602" i="1"/>
  <c r="Q602" i="1" s="1"/>
  <c r="L601" i="1"/>
  <c r="S601" i="1" s="1"/>
  <c r="K601" i="1"/>
  <c r="R601" i="1" s="1"/>
  <c r="T601" i="1" s="1"/>
  <c r="L600" i="1"/>
  <c r="S600" i="1" s="1"/>
  <c r="K600" i="1"/>
  <c r="Q600" i="1" s="1"/>
  <c r="L599" i="1"/>
  <c r="S599" i="1" s="1"/>
  <c r="K599" i="1"/>
  <c r="L598" i="1"/>
  <c r="S598" i="1" s="1"/>
  <c r="K598" i="1"/>
  <c r="L597" i="1"/>
  <c r="S597" i="1" s="1"/>
  <c r="K597" i="1"/>
  <c r="Q597" i="1" s="1"/>
  <c r="L596" i="1"/>
  <c r="S596" i="1" s="1"/>
  <c r="K596" i="1"/>
  <c r="R596" i="1" s="1"/>
  <c r="T596" i="1" s="1"/>
  <c r="L595" i="1"/>
  <c r="S595" i="1" s="1"/>
  <c r="K595" i="1"/>
  <c r="R595" i="1" s="1"/>
  <c r="T595" i="1" s="1"/>
  <c r="L594" i="1"/>
  <c r="S594" i="1" s="1"/>
  <c r="K594" i="1"/>
  <c r="J594" i="1"/>
  <c r="L593" i="1"/>
  <c r="S593" i="1" s="1"/>
  <c r="K593" i="1"/>
  <c r="Q593" i="1" s="1"/>
  <c r="L592" i="1"/>
  <c r="S592" i="1" s="1"/>
  <c r="K592" i="1"/>
  <c r="L591" i="1"/>
  <c r="S591" i="1" s="1"/>
  <c r="K591" i="1"/>
  <c r="Q591" i="1" s="1"/>
  <c r="L590" i="1"/>
  <c r="S590" i="1" s="1"/>
  <c r="K590" i="1"/>
  <c r="Q590" i="1" s="1"/>
  <c r="L589" i="1"/>
  <c r="S589" i="1" s="1"/>
  <c r="K589" i="1"/>
  <c r="R589" i="1" s="1"/>
  <c r="T589" i="1" s="1"/>
  <c r="L588" i="1"/>
  <c r="S588" i="1" s="1"/>
  <c r="K588" i="1"/>
  <c r="Q588" i="1" s="1"/>
  <c r="L587" i="1"/>
  <c r="S587" i="1" s="1"/>
  <c r="K587" i="1"/>
  <c r="R587" i="1" s="1"/>
  <c r="T587" i="1" s="1"/>
  <c r="L586" i="1"/>
  <c r="S586" i="1" s="1"/>
  <c r="K586" i="1"/>
  <c r="Q586" i="1" s="1"/>
  <c r="L585" i="1"/>
  <c r="S585" i="1" s="1"/>
  <c r="K585" i="1"/>
  <c r="Q585" i="1" s="1"/>
  <c r="L584" i="1"/>
  <c r="S584" i="1" s="1"/>
  <c r="K584" i="1"/>
  <c r="L583" i="1"/>
  <c r="S583" i="1" s="1"/>
  <c r="K583" i="1"/>
  <c r="Q583" i="1" s="1"/>
  <c r="L582" i="1"/>
  <c r="S582" i="1" s="1"/>
  <c r="K582" i="1"/>
  <c r="Q582" i="1" s="1"/>
  <c r="L581" i="1"/>
  <c r="S581" i="1" s="1"/>
  <c r="K581" i="1"/>
  <c r="Q581" i="1" s="1"/>
  <c r="L580" i="1"/>
  <c r="S580" i="1" s="1"/>
  <c r="K580" i="1"/>
  <c r="Q580" i="1" s="1"/>
  <c r="L579" i="1"/>
  <c r="S579" i="1" s="1"/>
  <c r="K579" i="1"/>
  <c r="R579" i="1" s="1"/>
  <c r="T579" i="1" s="1"/>
  <c r="L578" i="1"/>
  <c r="S578" i="1" s="1"/>
  <c r="K578" i="1"/>
  <c r="Q578" i="1" s="1"/>
  <c r="L577" i="1"/>
  <c r="S577" i="1" s="1"/>
  <c r="K577" i="1"/>
  <c r="R577" i="1" s="1"/>
  <c r="T577" i="1" s="1"/>
  <c r="L576" i="1"/>
  <c r="S576" i="1" s="1"/>
  <c r="K576" i="1"/>
  <c r="R576" i="1" s="1"/>
  <c r="T576" i="1" s="1"/>
  <c r="L575" i="1"/>
  <c r="S575" i="1" s="1"/>
  <c r="K575" i="1"/>
  <c r="L574" i="1"/>
  <c r="S574" i="1" s="1"/>
  <c r="K574" i="1"/>
  <c r="Q574" i="1" s="1"/>
  <c r="L573" i="1"/>
  <c r="S573" i="1" s="1"/>
  <c r="K573" i="1"/>
  <c r="R573" i="1" s="1"/>
  <c r="T573" i="1" s="1"/>
  <c r="L572" i="1"/>
  <c r="S572" i="1" s="1"/>
  <c r="K572" i="1"/>
  <c r="L571" i="1"/>
  <c r="S571" i="1" s="1"/>
  <c r="K571" i="1"/>
  <c r="L570" i="1"/>
  <c r="S570" i="1" s="1"/>
  <c r="K570" i="1"/>
  <c r="L569" i="1"/>
  <c r="S569" i="1" s="1"/>
  <c r="K569" i="1"/>
  <c r="Q569" i="1" s="1"/>
  <c r="L568" i="1"/>
  <c r="S568" i="1" s="1"/>
  <c r="K568" i="1"/>
  <c r="Q568" i="1" s="1"/>
  <c r="L567" i="1"/>
  <c r="S567" i="1" s="1"/>
  <c r="K567" i="1"/>
  <c r="R567" i="1" s="1"/>
  <c r="T567" i="1" s="1"/>
  <c r="L566" i="1"/>
  <c r="S566" i="1" s="1"/>
  <c r="K566" i="1"/>
  <c r="L565" i="1"/>
  <c r="S565" i="1" s="1"/>
  <c r="K565" i="1"/>
  <c r="L564" i="1"/>
  <c r="S564" i="1" s="1"/>
  <c r="K564" i="1"/>
  <c r="R564" i="1" s="1"/>
  <c r="T564" i="1" s="1"/>
  <c r="L563" i="1"/>
  <c r="S563" i="1" s="1"/>
  <c r="K563" i="1"/>
  <c r="R563" i="1" s="1"/>
  <c r="T563" i="1" s="1"/>
  <c r="L562" i="1"/>
  <c r="S562" i="1" s="1"/>
  <c r="K562" i="1"/>
  <c r="Q562" i="1" s="1"/>
  <c r="L561" i="1"/>
  <c r="S561" i="1" s="1"/>
  <c r="K561" i="1"/>
  <c r="R561" i="1" s="1"/>
  <c r="T561" i="1" s="1"/>
  <c r="L560" i="1"/>
  <c r="S560" i="1" s="1"/>
  <c r="K560" i="1"/>
  <c r="Q560" i="1" s="1"/>
  <c r="L559" i="1"/>
  <c r="S559" i="1" s="1"/>
  <c r="K559" i="1"/>
  <c r="R559" i="1" s="1"/>
  <c r="T559" i="1" s="1"/>
  <c r="L558" i="1"/>
  <c r="S558" i="1" s="1"/>
  <c r="K558" i="1"/>
  <c r="R558" i="1" s="1"/>
  <c r="T558" i="1" s="1"/>
  <c r="L557" i="1"/>
  <c r="S557" i="1" s="1"/>
  <c r="K557" i="1"/>
  <c r="Q557" i="1" s="1"/>
  <c r="L556" i="1"/>
  <c r="S556" i="1" s="1"/>
  <c r="K556" i="1"/>
  <c r="R556" i="1" s="1"/>
  <c r="T556" i="1" s="1"/>
  <c r="L555" i="1"/>
  <c r="S555" i="1" s="1"/>
  <c r="K555" i="1"/>
  <c r="Q555" i="1" s="1"/>
  <c r="L554" i="1"/>
  <c r="S554" i="1" s="1"/>
  <c r="K554" i="1"/>
  <c r="L553" i="1"/>
  <c r="S553" i="1" s="1"/>
  <c r="K553" i="1"/>
  <c r="R553" i="1" s="1"/>
  <c r="T553" i="1" s="1"/>
  <c r="L552" i="1"/>
  <c r="S552" i="1" s="1"/>
  <c r="K552" i="1"/>
  <c r="R552" i="1" s="1"/>
  <c r="T552" i="1" s="1"/>
  <c r="L551" i="1"/>
  <c r="S551" i="1" s="1"/>
  <c r="K551" i="1"/>
  <c r="R551" i="1" s="1"/>
  <c r="T551" i="1" s="1"/>
  <c r="L550" i="1"/>
  <c r="S550" i="1" s="1"/>
  <c r="K550" i="1"/>
  <c r="Q550" i="1" s="1"/>
  <c r="L549" i="1"/>
  <c r="S549" i="1" s="1"/>
  <c r="K549" i="1"/>
  <c r="Q549" i="1" s="1"/>
  <c r="L548" i="1"/>
  <c r="S548" i="1" s="1"/>
  <c r="K548" i="1"/>
  <c r="R548" i="1" s="1"/>
  <c r="T548" i="1" s="1"/>
  <c r="L547" i="1"/>
  <c r="S547" i="1" s="1"/>
  <c r="K547" i="1"/>
  <c r="R547" i="1" s="1"/>
  <c r="T547" i="1" s="1"/>
  <c r="L546" i="1"/>
  <c r="S546" i="1" s="1"/>
  <c r="K546" i="1"/>
  <c r="L545" i="1"/>
  <c r="S545" i="1" s="1"/>
  <c r="K545" i="1"/>
  <c r="Q545" i="1" s="1"/>
  <c r="J545" i="1"/>
  <c r="L544" i="1"/>
  <c r="S544" i="1" s="1"/>
  <c r="K544" i="1"/>
  <c r="R544" i="1" s="1"/>
  <c r="T544" i="1" s="1"/>
  <c r="L543" i="1"/>
  <c r="S543" i="1" s="1"/>
  <c r="K543" i="1"/>
  <c r="L542" i="1"/>
  <c r="S542" i="1" s="1"/>
  <c r="K542" i="1"/>
  <c r="Q542" i="1" s="1"/>
  <c r="L541" i="1"/>
  <c r="S541" i="1" s="1"/>
  <c r="K541" i="1"/>
  <c r="L540" i="1"/>
  <c r="S540" i="1" s="1"/>
  <c r="K540" i="1"/>
  <c r="L539" i="1"/>
  <c r="S539" i="1" s="1"/>
  <c r="K539" i="1"/>
  <c r="Q539" i="1" s="1"/>
  <c r="L538" i="1"/>
  <c r="S538" i="1" s="1"/>
  <c r="K538" i="1"/>
  <c r="Q538" i="1" s="1"/>
  <c r="L537" i="1"/>
  <c r="S537" i="1" s="1"/>
  <c r="K537" i="1"/>
  <c r="Q537" i="1" s="1"/>
  <c r="L536" i="1"/>
  <c r="S536" i="1" s="1"/>
  <c r="K536" i="1"/>
  <c r="L535" i="1"/>
  <c r="S535" i="1" s="1"/>
  <c r="K535" i="1"/>
  <c r="R535" i="1" s="1"/>
  <c r="T535" i="1" s="1"/>
  <c r="L534" i="1"/>
  <c r="S534" i="1" s="1"/>
  <c r="K534" i="1"/>
  <c r="R534" i="1" s="1"/>
  <c r="T534" i="1" s="1"/>
  <c r="L533" i="1"/>
  <c r="S533" i="1" s="1"/>
  <c r="K533" i="1"/>
  <c r="R533" i="1" s="1"/>
  <c r="T533" i="1" s="1"/>
  <c r="L532" i="1"/>
  <c r="S532" i="1" s="1"/>
  <c r="K532" i="1"/>
  <c r="Q532" i="1" s="1"/>
  <c r="L531" i="1"/>
  <c r="S531" i="1" s="1"/>
  <c r="K531" i="1"/>
  <c r="Q531" i="1" s="1"/>
  <c r="L530" i="1"/>
  <c r="S530" i="1" s="1"/>
  <c r="K530" i="1"/>
  <c r="L529" i="1"/>
  <c r="S529" i="1" s="1"/>
  <c r="K529" i="1"/>
  <c r="R529" i="1" s="1"/>
  <c r="T529" i="1" s="1"/>
  <c r="L528" i="1"/>
  <c r="S528" i="1" s="1"/>
  <c r="K528" i="1"/>
  <c r="L527" i="1"/>
  <c r="S527" i="1" s="1"/>
  <c r="K527" i="1"/>
  <c r="L526" i="1"/>
  <c r="S526" i="1" s="1"/>
  <c r="K526" i="1"/>
  <c r="Q526" i="1" s="1"/>
  <c r="L525" i="1"/>
  <c r="S525" i="1" s="1"/>
  <c r="K525" i="1"/>
  <c r="R525" i="1" s="1"/>
  <c r="T525" i="1" s="1"/>
  <c r="L524" i="1"/>
  <c r="S524" i="1" s="1"/>
  <c r="K524" i="1"/>
  <c r="R524" i="1" s="1"/>
  <c r="T524" i="1" s="1"/>
  <c r="L523" i="1"/>
  <c r="S523" i="1" s="1"/>
  <c r="K523" i="1"/>
  <c r="Q523" i="1" s="1"/>
  <c r="L522" i="1"/>
  <c r="S522" i="1" s="1"/>
  <c r="K522" i="1"/>
  <c r="Q522" i="1" s="1"/>
  <c r="J522" i="1"/>
  <c r="L521" i="1"/>
  <c r="S521" i="1" s="1"/>
  <c r="K521" i="1"/>
  <c r="Q521" i="1" s="1"/>
  <c r="L520" i="1"/>
  <c r="S520" i="1" s="1"/>
  <c r="K520" i="1"/>
  <c r="R520" i="1" s="1"/>
  <c r="T520" i="1" s="1"/>
  <c r="L519" i="1"/>
  <c r="S519" i="1" s="1"/>
  <c r="K519" i="1"/>
  <c r="Q519" i="1" s="1"/>
  <c r="L518" i="1"/>
  <c r="S518" i="1" s="1"/>
  <c r="K518" i="1"/>
  <c r="R518" i="1" s="1"/>
  <c r="T518" i="1" s="1"/>
  <c r="L517" i="1"/>
  <c r="S517" i="1" s="1"/>
  <c r="K517" i="1"/>
  <c r="L516" i="1"/>
  <c r="S516" i="1" s="1"/>
  <c r="K516" i="1"/>
  <c r="L515" i="1"/>
  <c r="S515" i="1" s="1"/>
  <c r="K515" i="1"/>
  <c r="Q515" i="1" s="1"/>
  <c r="L514" i="1"/>
  <c r="S514" i="1" s="1"/>
  <c r="K514" i="1"/>
  <c r="Q514" i="1" s="1"/>
  <c r="L513" i="1"/>
  <c r="S513" i="1" s="1"/>
  <c r="K513" i="1"/>
  <c r="R513" i="1" s="1"/>
  <c r="T513" i="1" s="1"/>
  <c r="L512" i="1"/>
  <c r="S512" i="1" s="1"/>
  <c r="K512" i="1"/>
  <c r="Q512" i="1" s="1"/>
  <c r="L511" i="1"/>
  <c r="S511" i="1" s="1"/>
  <c r="K511" i="1"/>
  <c r="R511" i="1" s="1"/>
  <c r="T511" i="1" s="1"/>
  <c r="L510" i="1"/>
  <c r="S510" i="1" s="1"/>
  <c r="K510" i="1"/>
  <c r="R510" i="1" s="1"/>
  <c r="T510" i="1" s="1"/>
  <c r="L509" i="1"/>
  <c r="S509" i="1" s="1"/>
  <c r="K509" i="1"/>
  <c r="L508" i="1"/>
  <c r="S508" i="1" s="1"/>
  <c r="K508" i="1"/>
  <c r="R508" i="1" s="1"/>
  <c r="T508" i="1" s="1"/>
  <c r="L507" i="1"/>
  <c r="S507" i="1" s="1"/>
  <c r="K507" i="1"/>
  <c r="R507" i="1" s="1"/>
  <c r="T507" i="1" s="1"/>
  <c r="L506" i="1"/>
  <c r="S506" i="1" s="1"/>
  <c r="K506" i="1"/>
  <c r="L505" i="1"/>
  <c r="S505" i="1" s="1"/>
  <c r="K505" i="1"/>
  <c r="L504" i="1"/>
  <c r="S504" i="1" s="1"/>
  <c r="K504" i="1"/>
  <c r="R504" i="1" s="1"/>
  <c r="T504" i="1" s="1"/>
  <c r="L503" i="1"/>
  <c r="S503" i="1" s="1"/>
  <c r="K503" i="1"/>
  <c r="Q503" i="1" s="1"/>
  <c r="L502" i="1"/>
  <c r="S502" i="1" s="1"/>
  <c r="K502" i="1"/>
  <c r="Q502" i="1" s="1"/>
  <c r="L501" i="1"/>
  <c r="S501" i="1" s="1"/>
  <c r="K501" i="1"/>
  <c r="L500" i="1"/>
  <c r="S500" i="1" s="1"/>
  <c r="K500" i="1"/>
  <c r="L499" i="1"/>
  <c r="S499" i="1" s="1"/>
  <c r="K499" i="1"/>
  <c r="R499" i="1" s="1"/>
  <c r="T499" i="1" s="1"/>
  <c r="L498" i="1"/>
  <c r="S498" i="1" s="1"/>
  <c r="K498" i="1"/>
  <c r="R498" i="1" s="1"/>
  <c r="T498" i="1" s="1"/>
  <c r="L497" i="1"/>
  <c r="S497" i="1" s="1"/>
  <c r="K497" i="1"/>
  <c r="R497" i="1" s="1"/>
  <c r="T497" i="1" s="1"/>
  <c r="L496" i="1"/>
  <c r="S496" i="1" s="1"/>
  <c r="K496" i="1"/>
  <c r="Q496" i="1" s="1"/>
  <c r="L495" i="1"/>
  <c r="S495" i="1" s="1"/>
  <c r="K495" i="1"/>
  <c r="L494" i="1"/>
  <c r="S494" i="1" s="1"/>
  <c r="K494" i="1"/>
  <c r="R494" i="1" s="1"/>
  <c r="T494" i="1" s="1"/>
  <c r="L493" i="1"/>
  <c r="S493" i="1" s="1"/>
  <c r="K493" i="1"/>
  <c r="R493" i="1" s="1"/>
  <c r="T493" i="1" s="1"/>
  <c r="L492" i="1"/>
  <c r="S492" i="1" s="1"/>
  <c r="K492" i="1"/>
  <c r="R492" i="1" s="1"/>
  <c r="T492" i="1" s="1"/>
  <c r="L491" i="1"/>
  <c r="S491" i="1" s="1"/>
  <c r="K491" i="1"/>
  <c r="J491" i="1"/>
  <c r="L490" i="1"/>
  <c r="S490" i="1" s="1"/>
  <c r="K490" i="1"/>
  <c r="R490" i="1" s="1"/>
  <c r="T490" i="1" s="1"/>
  <c r="L489" i="1"/>
  <c r="S489" i="1" s="1"/>
  <c r="K489" i="1"/>
  <c r="R489" i="1" s="1"/>
  <c r="T489" i="1" s="1"/>
  <c r="L488" i="1"/>
  <c r="S488" i="1" s="1"/>
  <c r="K488" i="1"/>
  <c r="L487" i="1"/>
  <c r="S487" i="1" s="1"/>
  <c r="K487" i="1"/>
  <c r="L486" i="1"/>
  <c r="S486" i="1" s="1"/>
  <c r="K486" i="1"/>
  <c r="L485" i="1"/>
  <c r="S485" i="1" s="1"/>
  <c r="K485" i="1"/>
  <c r="R485" i="1" s="1"/>
  <c r="T485" i="1" s="1"/>
  <c r="L484" i="1"/>
  <c r="S484" i="1" s="1"/>
  <c r="K484" i="1"/>
  <c r="L483" i="1"/>
  <c r="S483" i="1" s="1"/>
  <c r="K483" i="1"/>
  <c r="Q483" i="1" s="1"/>
  <c r="L482" i="1"/>
  <c r="S482" i="1" s="1"/>
  <c r="K482" i="1"/>
  <c r="Q482" i="1" s="1"/>
  <c r="L481" i="1"/>
  <c r="S481" i="1" s="1"/>
  <c r="K481" i="1"/>
  <c r="R481" i="1" s="1"/>
  <c r="T481" i="1" s="1"/>
  <c r="L480" i="1"/>
  <c r="S480" i="1" s="1"/>
  <c r="K480" i="1"/>
  <c r="Q480" i="1" s="1"/>
  <c r="L479" i="1"/>
  <c r="S479" i="1" s="1"/>
  <c r="K479" i="1"/>
  <c r="Q479" i="1" s="1"/>
  <c r="L478" i="1"/>
  <c r="S478" i="1" s="1"/>
  <c r="K478" i="1"/>
  <c r="Q478" i="1" s="1"/>
  <c r="L477" i="1"/>
  <c r="S477" i="1" s="1"/>
  <c r="K477" i="1"/>
  <c r="Q477" i="1" s="1"/>
  <c r="L476" i="1"/>
  <c r="S476" i="1" s="1"/>
  <c r="K476" i="1"/>
  <c r="Q476" i="1" s="1"/>
  <c r="J476" i="1"/>
  <c r="L475" i="1"/>
  <c r="S475" i="1" s="1"/>
  <c r="K475" i="1"/>
  <c r="R475" i="1" s="1"/>
  <c r="T475" i="1" s="1"/>
  <c r="L474" i="1"/>
  <c r="S474" i="1" s="1"/>
  <c r="K474" i="1"/>
  <c r="R474" i="1" s="1"/>
  <c r="T474" i="1" s="1"/>
  <c r="L473" i="1"/>
  <c r="S473" i="1" s="1"/>
  <c r="K473" i="1"/>
  <c r="R473" i="1" s="1"/>
  <c r="T473" i="1" s="1"/>
  <c r="L472" i="1"/>
  <c r="S472" i="1" s="1"/>
  <c r="K472" i="1"/>
  <c r="R472" i="1" s="1"/>
  <c r="T472" i="1" s="1"/>
  <c r="L471" i="1"/>
  <c r="S471" i="1" s="1"/>
  <c r="K471" i="1"/>
  <c r="Q471" i="1" s="1"/>
  <c r="L470" i="1"/>
  <c r="S470" i="1" s="1"/>
  <c r="K470" i="1"/>
  <c r="L469" i="1"/>
  <c r="S469" i="1" s="1"/>
  <c r="K469" i="1"/>
  <c r="R469" i="1" s="1"/>
  <c r="T469" i="1" s="1"/>
  <c r="L468" i="1"/>
  <c r="S468" i="1" s="1"/>
  <c r="K468" i="1"/>
  <c r="R468" i="1" s="1"/>
  <c r="T468" i="1" s="1"/>
  <c r="L467" i="1"/>
  <c r="S467" i="1" s="1"/>
  <c r="K467" i="1"/>
  <c r="Q467" i="1" s="1"/>
  <c r="L466" i="1"/>
  <c r="S466" i="1" s="1"/>
  <c r="K466" i="1"/>
  <c r="R466" i="1" s="1"/>
  <c r="T466" i="1" s="1"/>
  <c r="L465" i="1"/>
  <c r="S465" i="1" s="1"/>
  <c r="K465" i="1"/>
  <c r="Q465" i="1" s="1"/>
  <c r="L464" i="1"/>
  <c r="S464" i="1" s="1"/>
  <c r="K464" i="1"/>
  <c r="R464" i="1" s="1"/>
  <c r="T464" i="1" s="1"/>
  <c r="L463" i="1"/>
  <c r="S463" i="1" s="1"/>
  <c r="K463" i="1"/>
  <c r="L462" i="1"/>
  <c r="S462" i="1" s="1"/>
  <c r="K462" i="1"/>
  <c r="Q462" i="1" s="1"/>
  <c r="L461" i="1"/>
  <c r="S461" i="1" s="1"/>
  <c r="K461" i="1"/>
  <c r="Q461" i="1" s="1"/>
  <c r="L460" i="1"/>
  <c r="S460" i="1" s="1"/>
  <c r="K460" i="1"/>
  <c r="L459" i="1"/>
  <c r="S459" i="1" s="1"/>
  <c r="K459" i="1"/>
  <c r="L458" i="1"/>
  <c r="S458" i="1" s="1"/>
  <c r="K458" i="1"/>
  <c r="Q458" i="1" s="1"/>
  <c r="L457" i="1"/>
  <c r="S457" i="1" s="1"/>
  <c r="K457" i="1"/>
  <c r="L456" i="1"/>
  <c r="S456" i="1" s="1"/>
  <c r="K456" i="1"/>
  <c r="Q456" i="1" s="1"/>
  <c r="L455" i="1"/>
  <c r="S455" i="1" s="1"/>
  <c r="K455" i="1"/>
  <c r="R455" i="1" s="1"/>
  <c r="T455" i="1" s="1"/>
  <c r="L454" i="1"/>
  <c r="S454" i="1" s="1"/>
  <c r="K454" i="1"/>
  <c r="Q454" i="1" s="1"/>
  <c r="L453" i="1"/>
  <c r="S453" i="1" s="1"/>
  <c r="K453" i="1"/>
  <c r="L452" i="1"/>
  <c r="S452" i="1" s="1"/>
  <c r="K452" i="1"/>
  <c r="R452" i="1" s="1"/>
  <c r="T452" i="1" s="1"/>
  <c r="L451" i="1"/>
  <c r="S451" i="1" s="1"/>
  <c r="K451" i="1"/>
  <c r="L450" i="1"/>
  <c r="S450" i="1" s="1"/>
  <c r="K450" i="1"/>
  <c r="R450" i="1" s="1"/>
  <c r="T450" i="1" s="1"/>
  <c r="L449" i="1"/>
  <c r="S449" i="1" s="1"/>
  <c r="K449" i="1"/>
  <c r="L448" i="1"/>
  <c r="S448" i="1" s="1"/>
  <c r="K448" i="1"/>
  <c r="Q448" i="1" s="1"/>
  <c r="L447" i="1"/>
  <c r="S447" i="1" s="1"/>
  <c r="K447" i="1"/>
  <c r="L446" i="1"/>
  <c r="S446" i="1" s="1"/>
  <c r="K446" i="1"/>
  <c r="R446" i="1" s="1"/>
  <c r="T446" i="1" s="1"/>
  <c r="L445" i="1"/>
  <c r="S445" i="1" s="1"/>
  <c r="K445" i="1"/>
  <c r="Q445" i="1" s="1"/>
  <c r="L444" i="1"/>
  <c r="S444" i="1" s="1"/>
  <c r="K444" i="1"/>
  <c r="R444" i="1" s="1"/>
  <c r="T444" i="1" s="1"/>
  <c r="L443" i="1"/>
  <c r="S443" i="1" s="1"/>
  <c r="K443" i="1"/>
  <c r="Q443" i="1" s="1"/>
  <c r="J443" i="1"/>
  <c r="L442" i="1"/>
  <c r="S442" i="1" s="1"/>
  <c r="K442" i="1"/>
  <c r="R442" i="1" s="1"/>
  <c r="T442" i="1" s="1"/>
  <c r="L441" i="1"/>
  <c r="S441" i="1" s="1"/>
  <c r="K441" i="1"/>
  <c r="L440" i="1"/>
  <c r="S440" i="1" s="1"/>
  <c r="K440" i="1"/>
  <c r="Q440" i="1" s="1"/>
  <c r="J440" i="1"/>
  <c r="L439" i="1"/>
  <c r="S439" i="1" s="1"/>
  <c r="K439" i="1"/>
  <c r="Q439" i="1" s="1"/>
  <c r="L438" i="1"/>
  <c r="S438" i="1" s="1"/>
  <c r="K438" i="1"/>
  <c r="R438" i="1" s="1"/>
  <c r="T438" i="1" s="1"/>
  <c r="L437" i="1"/>
  <c r="S437" i="1" s="1"/>
  <c r="K437" i="1"/>
  <c r="R437" i="1" s="1"/>
  <c r="T437" i="1" s="1"/>
  <c r="L436" i="1"/>
  <c r="S436" i="1" s="1"/>
  <c r="K436" i="1"/>
  <c r="Q436" i="1" s="1"/>
  <c r="L435" i="1"/>
  <c r="S435" i="1" s="1"/>
  <c r="K435" i="1"/>
  <c r="Q435" i="1" s="1"/>
  <c r="L434" i="1"/>
  <c r="S434" i="1" s="1"/>
  <c r="K434" i="1"/>
  <c r="Q434" i="1" s="1"/>
  <c r="L433" i="1"/>
  <c r="S433" i="1" s="1"/>
  <c r="K433" i="1"/>
  <c r="R433" i="1" s="1"/>
  <c r="T433" i="1" s="1"/>
  <c r="L432" i="1"/>
  <c r="S432" i="1" s="1"/>
  <c r="K432" i="1"/>
  <c r="R432" i="1" s="1"/>
  <c r="T432" i="1" s="1"/>
  <c r="L431" i="1"/>
  <c r="S431" i="1" s="1"/>
  <c r="K431" i="1"/>
  <c r="R431" i="1" s="1"/>
  <c r="T431" i="1" s="1"/>
  <c r="L430" i="1"/>
  <c r="S430" i="1" s="1"/>
  <c r="K430" i="1"/>
  <c r="R430" i="1" s="1"/>
  <c r="T430" i="1" s="1"/>
  <c r="L429" i="1"/>
  <c r="S429" i="1" s="1"/>
  <c r="K429" i="1"/>
  <c r="R429" i="1" s="1"/>
  <c r="T429" i="1" s="1"/>
  <c r="L428" i="1"/>
  <c r="S428" i="1" s="1"/>
  <c r="K428" i="1"/>
  <c r="R428" i="1" s="1"/>
  <c r="T428" i="1" s="1"/>
  <c r="L427" i="1"/>
  <c r="S427" i="1" s="1"/>
  <c r="K427" i="1"/>
  <c r="R427" i="1" s="1"/>
  <c r="T427" i="1" s="1"/>
  <c r="L426" i="1"/>
  <c r="S426" i="1" s="1"/>
  <c r="K426" i="1"/>
  <c r="Q426" i="1" s="1"/>
  <c r="L425" i="1"/>
  <c r="S425" i="1" s="1"/>
  <c r="K425" i="1"/>
  <c r="L424" i="1"/>
  <c r="S424" i="1" s="1"/>
  <c r="K424" i="1"/>
  <c r="L423" i="1"/>
  <c r="S423" i="1" s="1"/>
  <c r="K423" i="1"/>
  <c r="L422" i="1"/>
  <c r="S422" i="1" s="1"/>
  <c r="K422" i="1"/>
  <c r="Q422" i="1" s="1"/>
  <c r="L421" i="1"/>
  <c r="S421" i="1" s="1"/>
  <c r="K421" i="1"/>
  <c r="Q421" i="1" s="1"/>
  <c r="L420" i="1"/>
  <c r="S420" i="1" s="1"/>
  <c r="K420" i="1"/>
  <c r="Q420" i="1" s="1"/>
  <c r="L419" i="1"/>
  <c r="S419" i="1" s="1"/>
  <c r="K419" i="1"/>
  <c r="L418" i="1"/>
  <c r="S418" i="1" s="1"/>
  <c r="K418" i="1"/>
  <c r="R418" i="1" s="1"/>
  <c r="T418" i="1" s="1"/>
  <c r="L417" i="1"/>
  <c r="S417" i="1" s="1"/>
  <c r="K417" i="1"/>
  <c r="R417" i="1" s="1"/>
  <c r="T417" i="1" s="1"/>
  <c r="L416" i="1"/>
  <c r="S416" i="1" s="1"/>
  <c r="K416" i="1"/>
  <c r="R416" i="1" s="1"/>
  <c r="T416" i="1" s="1"/>
  <c r="L415" i="1"/>
  <c r="S415" i="1" s="1"/>
  <c r="K415" i="1"/>
  <c r="Q415" i="1" s="1"/>
  <c r="L414" i="1"/>
  <c r="S414" i="1" s="1"/>
  <c r="K414" i="1"/>
  <c r="R414" i="1" s="1"/>
  <c r="T414" i="1" s="1"/>
  <c r="L413" i="1"/>
  <c r="S413" i="1" s="1"/>
  <c r="K413" i="1"/>
  <c r="L412" i="1"/>
  <c r="S412" i="1" s="1"/>
  <c r="K412" i="1"/>
  <c r="Q412" i="1" s="1"/>
  <c r="L411" i="1"/>
  <c r="S411" i="1" s="1"/>
  <c r="K411" i="1"/>
  <c r="R411" i="1" s="1"/>
  <c r="T411" i="1" s="1"/>
  <c r="L410" i="1"/>
  <c r="S410" i="1" s="1"/>
  <c r="K410" i="1"/>
  <c r="L409" i="1"/>
  <c r="S409" i="1" s="1"/>
  <c r="K409" i="1"/>
  <c r="R409" i="1" s="1"/>
  <c r="T409" i="1" s="1"/>
  <c r="L408" i="1"/>
  <c r="S408" i="1" s="1"/>
  <c r="K408" i="1"/>
  <c r="Q408" i="1" s="1"/>
  <c r="L407" i="1"/>
  <c r="S407" i="1" s="1"/>
  <c r="K407" i="1"/>
  <c r="R407" i="1" s="1"/>
  <c r="T407" i="1" s="1"/>
  <c r="L406" i="1"/>
  <c r="S406" i="1" s="1"/>
  <c r="K406" i="1"/>
  <c r="Q406" i="1" s="1"/>
  <c r="L405" i="1"/>
  <c r="S405" i="1" s="1"/>
  <c r="K405" i="1"/>
  <c r="R405" i="1" s="1"/>
  <c r="T405" i="1" s="1"/>
  <c r="L404" i="1"/>
  <c r="S404" i="1" s="1"/>
  <c r="K404" i="1"/>
  <c r="R404" i="1" s="1"/>
  <c r="T404" i="1" s="1"/>
  <c r="L403" i="1"/>
  <c r="S403" i="1" s="1"/>
  <c r="K403" i="1"/>
  <c r="L402" i="1"/>
  <c r="S402" i="1" s="1"/>
  <c r="K402" i="1"/>
  <c r="R402" i="1" s="1"/>
  <c r="T402" i="1" s="1"/>
  <c r="L401" i="1"/>
  <c r="S401" i="1" s="1"/>
  <c r="K401" i="1"/>
  <c r="Q401" i="1" s="1"/>
  <c r="L400" i="1"/>
  <c r="S400" i="1" s="1"/>
  <c r="K400" i="1"/>
  <c r="R400" i="1" s="1"/>
  <c r="T400" i="1" s="1"/>
  <c r="L399" i="1"/>
  <c r="S399" i="1" s="1"/>
  <c r="K399" i="1"/>
  <c r="Q399" i="1" s="1"/>
  <c r="L398" i="1"/>
  <c r="S398" i="1" s="1"/>
  <c r="K398" i="1"/>
  <c r="L397" i="1"/>
  <c r="S397" i="1" s="1"/>
  <c r="K397" i="1"/>
  <c r="Q397" i="1" s="1"/>
  <c r="L396" i="1"/>
  <c r="S396" i="1" s="1"/>
  <c r="K396" i="1"/>
  <c r="R396" i="1" s="1"/>
  <c r="T396" i="1" s="1"/>
  <c r="L395" i="1"/>
  <c r="S395" i="1" s="1"/>
  <c r="K395" i="1"/>
  <c r="L394" i="1"/>
  <c r="S394" i="1" s="1"/>
  <c r="K394" i="1"/>
  <c r="Q394" i="1" s="1"/>
  <c r="L393" i="1"/>
  <c r="S393" i="1" s="1"/>
  <c r="K393" i="1"/>
  <c r="L392" i="1"/>
  <c r="S392" i="1" s="1"/>
  <c r="K392" i="1"/>
  <c r="R392" i="1" s="1"/>
  <c r="T392" i="1" s="1"/>
  <c r="L391" i="1"/>
  <c r="S391" i="1" s="1"/>
  <c r="K391" i="1"/>
  <c r="L390" i="1"/>
  <c r="S390" i="1" s="1"/>
  <c r="K390" i="1"/>
  <c r="Q390" i="1" s="1"/>
  <c r="L389" i="1"/>
  <c r="S389" i="1" s="1"/>
  <c r="K389" i="1"/>
  <c r="Q389" i="1" s="1"/>
  <c r="L388" i="1"/>
  <c r="S388" i="1" s="1"/>
  <c r="K388" i="1"/>
  <c r="R388" i="1" s="1"/>
  <c r="T388" i="1" s="1"/>
  <c r="L387" i="1"/>
  <c r="S387" i="1" s="1"/>
  <c r="K387" i="1"/>
  <c r="Q387" i="1" s="1"/>
  <c r="L386" i="1"/>
  <c r="S386" i="1" s="1"/>
  <c r="K386" i="1"/>
  <c r="L385" i="1"/>
  <c r="S385" i="1" s="1"/>
  <c r="K385" i="1"/>
  <c r="L384" i="1"/>
  <c r="S384" i="1" s="1"/>
  <c r="K384" i="1"/>
  <c r="L383" i="1"/>
  <c r="S383" i="1" s="1"/>
  <c r="K383" i="1"/>
  <c r="R383" i="1" s="1"/>
  <c r="T383" i="1" s="1"/>
  <c r="L382" i="1"/>
  <c r="S382" i="1" s="1"/>
  <c r="K382" i="1"/>
  <c r="L381" i="1"/>
  <c r="S381" i="1" s="1"/>
  <c r="K381" i="1"/>
  <c r="Q381" i="1" s="1"/>
  <c r="L380" i="1"/>
  <c r="S380" i="1" s="1"/>
  <c r="K380" i="1"/>
  <c r="Q380" i="1" s="1"/>
  <c r="L379" i="1"/>
  <c r="S379" i="1" s="1"/>
  <c r="K379" i="1"/>
  <c r="Q379" i="1" s="1"/>
  <c r="L378" i="1"/>
  <c r="S378" i="1" s="1"/>
  <c r="K378" i="1"/>
  <c r="L377" i="1"/>
  <c r="S377" i="1" s="1"/>
  <c r="K377" i="1"/>
  <c r="R377" i="1" s="1"/>
  <c r="T377" i="1" s="1"/>
  <c r="L376" i="1"/>
  <c r="S376" i="1" s="1"/>
  <c r="K376" i="1"/>
  <c r="Q376" i="1" s="1"/>
  <c r="L375" i="1"/>
  <c r="S375" i="1" s="1"/>
  <c r="K375" i="1"/>
  <c r="R375" i="1" s="1"/>
  <c r="T375" i="1" s="1"/>
  <c r="L374" i="1"/>
  <c r="S374" i="1" s="1"/>
  <c r="K374" i="1"/>
  <c r="R374" i="1" s="1"/>
  <c r="T374" i="1" s="1"/>
  <c r="L373" i="1"/>
  <c r="S373" i="1" s="1"/>
  <c r="K373" i="1"/>
  <c r="R373" i="1" s="1"/>
  <c r="T373" i="1" s="1"/>
  <c r="L372" i="1"/>
  <c r="S372" i="1" s="1"/>
  <c r="K372" i="1"/>
  <c r="L371" i="1"/>
  <c r="S371" i="1" s="1"/>
  <c r="K371" i="1"/>
  <c r="R371" i="1" s="1"/>
  <c r="T371" i="1" s="1"/>
  <c r="L370" i="1"/>
  <c r="S370" i="1" s="1"/>
  <c r="K370" i="1"/>
  <c r="R370" i="1" s="1"/>
  <c r="T370" i="1" s="1"/>
  <c r="L369" i="1"/>
  <c r="S369" i="1" s="1"/>
  <c r="K369" i="1"/>
  <c r="R369" i="1" s="1"/>
  <c r="T369" i="1" s="1"/>
  <c r="L368" i="1"/>
  <c r="S368" i="1" s="1"/>
  <c r="K368" i="1"/>
  <c r="R368" i="1" s="1"/>
  <c r="T368" i="1" s="1"/>
  <c r="L367" i="1"/>
  <c r="S367" i="1" s="1"/>
  <c r="K367" i="1"/>
  <c r="R367" i="1" s="1"/>
  <c r="T367" i="1" s="1"/>
  <c r="L366" i="1"/>
  <c r="S366" i="1" s="1"/>
  <c r="K366" i="1"/>
  <c r="R366" i="1" s="1"/>
  <c r="T366" i="1" s="1"/>
  <c r="L365" i="1"/>
  <c r="S365" i="1" s="1"/>
  <c r="K365" i="1"/>
  <c r="Q365" i="1" s="1"/>
  <c r="L364" i="1"/>
  <c r="S364" i="1" s="1"/>
  <c r="K364" i="1"/>
  <c r="R364" i="1" s="1"/>
  <c r="T364" i="1" s="1"/>
  <c r="L363" i="1"/>
  <c r="S363" i="1" s="1"/>
  <c r="K363" i="1"/>
  <c r="L362" i="1"/>
  <c r="S362" i="1" s="1"/>
  <c r="K362" i="1"/>
  <c r="R362" i="1" s="1"/>
  <c r="T362" i="1" s="1"/>
  <c r="L361" i="1"/>
  <c r="S361" i="1" s="1"/>
  <c r="K361" i="1"/>
  <c r="Q361" i="1" s="1"/>
  <c r="L360" i="1"/>
  <c r="S360" i="1" s="1"/>
  <c r="K360" i="1"/>
  <c r="R360" i="1" s="1"/>
  <c r="T360" i="1" s="1"/>
  <c r="L359" i="1"/>
  <c r="S359" i="1" s="1"/>
  <c r="K359" i="1"/>
  <c r="L358" i="1"/>
  <c r="S358" i="1" s="1"/>
  <c r="K358" i="1"/>
  <c r="L357" i="1"/>
  <c r="S357" i="1" s="1"/>
  <c r="K357" i="1"/>
  <c r="J357" i="1"/>
  <c r="L356" i="1"/>
  <c r="S356" i="1" s="1"/>
  <c r="K356" i="1"/>
  <c r="L355" i="1"/>
  <c r="S355" i="1" s="1"/>
  <c r="K355" i="1"/>
  <c r="Q355" i="1" s="1"/>
  <c r="L354" i="1"/>
  <c r="S354" i="1" s="1"/>
  <c r="K354" i="1"/>
  <c r="L353" i="1"/>
  <c r="S353" i="1" s="1"/>
  <c r="K353" i="1"/>
  <c r="Q353" i="1" s="1"/>
  <c r="L352" i="1"/>
  <c r="S352" i="1" s="1"/>
  <c r="K352" i="1"/>
  <c r="Q352" i="1" s="1"/>
  <c r="L351" i="1"/>
  <c r="S351" i="1" s="1"/>
  <c r="K351" i="1"/>
  <c r="Q351" i="1" s="1"/>
  <c r="L350" i="1"/>
  <c r="S350" i="1" s="1"/>
  <c r="K350" i="1"/>
  <c r="Q350" i="1" s="1"/>
  <c r="L349" i="1"/>
  <c r="S349" i="1" s="1"/>
  <c r="K349" i="1"/>
  <c r="L348" i="1"/>
  <c r="S348" i="1" s="1"/>
  <c r="K348" i="1"/>
  <c r="L347" i="1"/>
  <c r="S347" i="1" s="1"/>
  <c r="K347" i="1"/>
  <c r="L346" i="1"/>
  <c r="S346" i="1" s="1"/>
  <c r="K346" i="1"/>
  <c r="Q346" i="1" s="1"/>
  <c r="L345" i="1"/>
  <c r="S345" i="1" s="1"/>
  <c r="K345" i="1"/>
  <c r="Q345" i="1" s="1"/>
  <c r="L344" i="1"/>
  <c r="S344" i="1" s="1"/>
  <c r="K344" i="1"/>
  <c r="L343" i="1"/>
  <c r="S343" i="1" s="1"/>
  <c r="K343" i="1"/>
  <c r="R343" i="1" s="1"/>
  <c r="T343" i="1" s="1"/>
  <c r="L342" i="1"/>
  <c r="S342" i="1" s="1"/>
  <c r="K342" i="1"/>
  <c r="L341" i="1"/>
  <c r="S341" i="1" s="1"/>
  <c r="K341" i="1"/>
  <c r="Q341" i="1" s="1"/>
  <c r="L340" i="1"/>
  <c r="S340" i="1" s="1"/>
  <c r="K340" i="1"/>
  <c r="Q340" i="1" s="1"/>
  <c r="L339" i="1"/>
  <c r="S339" i="1" s="1"/>
  <c r="K339" i="1"/>
  <c r="Q339" i="1" s="1"/>
  <c r="L338" i="1"/>
  <c r="S338" i="1" s="1"/>
  <c r="K338" i="1"/>
  <c r="L337" i="1"/>
  <c r="S337" i="1" s="1"/>
  <c r="K337" i="1"/>
  <c r="Q337" i="1" s="1"/>
  <c r="L336" i="1"/>
  <c r="S336" i="1" s="1"/>
  <c r="K336" i="1"/>
  <c r="Q336" i="1" s="1"/>
  <c r="L335" i="1"/>
  <c r="S335" i="1" s="1"/>
  <c r="K335" i="1"/>
  <c r="L334" i="1"/>
  <c r="S334" i="1" s="1"/>
  <c r="K334" i="1"/>
  <c r="Q334" i="1" s="1"/>
  <c r="J334" i="1"/>
  <c r="L333" i="1"/>
  <c r="S333" i="1" s="1"/>
  <c r="K333" i="1"/>
  <c r="Q333" i="1" s="1"/>
  <c r="L332" i="1"/>
  <c r="S332" i="1" s="1"/>
  <c r="K332" i="1"/>
  <c r="L331" i="1"/>
  <c r="S331" i="1" s="1"/>
  <c r="K331" i="1"/>
  <c r="R331" i="1" s="1"/>
  <c r="T331" i="1" s="1"/>
  <c r="L330" i="1"/>
  <c r="S330" i="1" s="1"/>
  <c r="K330" i="1"/>
  <c r="L329" i="1"/>
  <c r="S329" i="1" s="1"/>
  <c r="K329" i="1"/>
  <c r="Q329" i="1" s="1"/>
  <c r="L328" i="1"/>
  <c r="S328" i="1" s="1"/>
  <c r="K328" i="1"/>
  <c r="L327" i="1"/>
  <c r="S327" i="1" s="1"/>
  <c r="K327" i="1"/>
  <c r="L326" i="1"/>
  <c r="S326" i="1" s="1"/>
  <c r="K326" i="1"/>
  <c r="Q326" i="1" s="1"/>
  <c r="L325" i="1"/>
  <c r="S325" i="1" s="1"/>
  <c r="K325" i="1"/>
  <c r="Q325" i="1" s="1"/>
  <c r="L324" i="1"/>
  <c r="S324" i="1" s="1"/>
  <c r="K324" i="1"/>
  <c r="R324" i="1" s="1"/>
  <c r="T324" i="1" s="1"/>
  <c r="L323" i="1"/>
  <c r="S323" i="1" s="1"/>
  <c r="K323" i="1"/>
  <c r="Q323" i="1" s="1"/>
  <c r="L322" i="1"/>
  <c r="S322" i="1" s="1"/>
  <c r="K322" i="1"/>
  <c r="Q322" i="1" s="1"/>
  <c r="L321" i="1"/>
  <c r="S321" i="1" s="1"/>
  <c r="K321" i="1"/>
  <c r="R321" i="1" s="1"/>
  <c r="T321" i="1" s="1"/>
  <c r="L320" i="1"/>
  <c r="S320" i="1" s="1"/>
  <c r="K320" i="1"/>
  <c r="Q320" i="1" s="1"/>
  <c r="L319" i="1"/>
  <c r="S319" i="1" s="1"/>
  <c r="K319" i="1"/>
  <c r="L318" i="1"/>
  <c r="S318" i="1" s="1"/>
  <c r="K318" i="1"/>
  <c r="L317" i="1"/>
  <c r="S317" i="1" s="1"/>
  <c r="K317" i="1"/>
  <c r="L316" i="1"/>
  <c r="S316" i="1" s="1"/>
  <c r="K316" i="1"/>
  <c r="R316" i="1" s="1"/>
  <c r="T316" i="1" s="1"/>
  <c r="L315" i="1"/>
  <c r="S315" i="1" s="1"/>
  <c r="K315" i="1"/>
  <c r="R315" i="1" s="1"/>
  <c r="T315" i="1" s="1"/>
  <c r="L314" i="1"/>
  <c r="S314" i="1" s="1"/>
  <c r="K314" i="1"/>
  <c r="R314" i="1" s="1"/>
  <c r="T314" i="1" s="1"/>
  <c r="L313" i="1"/>
  <c r="S313" i="1" s="1"/>
  <c r="K313" i="1"/>
  <c r="Q313" i="1" s="1"/>
  <c r="L312" i="1"/>
  <c r="S312" i="1" s="1"/>
  <c r="K312" i="1"/>
  <c r="Q312" i="1" s="1"/>
  <c r="L311" i="1"/>
  <c r="S311" i="1" s="1"/>
  <c r="K311" i="1"/>
  <c r="Q311" i="1" s="1"/>
  <c r="L310" i="1"/>
  <c r="S310" i="1" s="1"/>
  <c r="K310" i="1"/>
  <c r="R310" i="1" s="1"/>
  <c r="T310" i="1" s="1"/>
  <c r="L309" i="1"/>
  <c r="S309" i="1" s="1"/>
  <c r="K309" i="1"/>
  <c r="L308" i="1"/>
  <c r="S308" i="1" s="1"/>
  <c r="K308" i="1"/>
  <c r="R308" i="1" s="1"/>
  <c r="T308" i="1" s="1"/>
  <c r="L307" i="1"/>
  <c r="S307" i="1" s="1"/>
  <c r="K307" i="1"/>
  <c r="R307" i="1" s="1"/>
  <c r="T307" i="1" s="1"/>
  <c r="L306" i="1"/>
  <c r="S306" i="1" s="1"/>
  <c r="K306" i="1"/>
  <c r="R306" i="1" s="1"/>
  <c r="T306" i="1" s="1"/>
  <c r="L305" i="1"/>
  <c r="S305" i="1" s="1"/>
  <c r="K305" i="1"/>
  <c r="R305" i="1" s="1"/>
  <c r="T305" i="1" s="1"/>
  <c r="L303" i="1"/>
  <c r="S303" i="1" s="1"/>
  <c r="K303" i="1"/>
  <c r="L302" i="1"/>
  <c r="S302" i="1" s="1"/>
  <c r="K302" i="1"/>
  <c r="Q302" i="1" s="1"/>
  <c r="L301" i="1"/>
  <c r="S301" i="1" s="1"/>
  <c r="K301" i="1"/>
  <c r="R301" i="1" s="1"/>
  <c r="T301" i="1" s="1"/>
  <c r="L300" i="1"/>
  <c r="S300" i="1" s="1"/>
  <c r="K300" i="1"/>
  <c r="Q300" i="1" s="1"/>
  <c r="L299" i="1"/>
  <c r="S299" i="1" s="1"/>
  <c r="K299" i="1"/>
  <c r="R299" i="1" s="1"/>
  <c r="T299" i="1" s="1"/>
  <c r="L298" i="1"/>
  <c r="S298" i="1" s="1"/>
  <c r="K298" i="1"/>
  <c r="Q298" i="1" s="1"/>
  <c r="L297" i="1"/>
  <c r="S297" i="1" s="1"/>
  <c r="K297" i="1"/>
  <c r="Q297" i="1" s="1"/>
  <c r="L296" i="1"/>
  <c r="S296" i="1" s="1"/>
  <c r="K296" i="1"/>
  <c r="L295" i="1"/>
  <c r="S295" i="1" s="1"/>
  <c r="K295" i="1"/>
  <c r="R295" i="1" s="1"/>
  <c r="T295" i="1" s="1"/>
  <c r="L294" i="1"/>
  <c r="S294" i="1" s="1"/>
  <c r="K294" i="1"/>
  <c r="R294" i="1" s="1"/>
  <c r="T294" i="1" s="1"/>
  <c r="L293" i="1"/>
  <c r="S293" i="1" s="1"/>
  <c r="K293" i="1"/>
  <c r="Q293" i="1" s="1"/>
  <c r="L292" i="1"/>
  <c r="S292" i="1" s="1"/>
  <c r="K292" i="1"/>
  <c r="L291" i="1"/>
  <c r="S291" i="1" s="1"/>
  <c r="K291" i="1"/>
  <c r="Q291" i="1" s="1"/>
  <c r="L290" i="1"/>
  <c r="S290" i="1" s="1"/>
  <c r="K290" i="1"/>
  <c r="L289" i="1"/>
  <c r="S289" i="1" s="1"/>
  <c r="K289" i="1"/>
  <c r="R289" i="1" s="1"/>
  <c r="T289" i="1" s="1"/>
  <c r="L288" i="1"/>
  <c r="S288" i="1" s="1"/>
  <c r="K288" i="1"/>
  <c r="R288" i="1" s="1"/>
  <c r="T288" i="1" s="1"/>
  <c r="L287" i="1"/>
  <c r="S287" i="1" s="1"/>
  <c r="K287" i="1"/>
  <c r="R287" i="1" s="1"/>
  <c r="T287" i="1" s="1"/>
  <c r="L286" i="1"/>
  <c r="S286" i="1" s="1"/>
  <c r="K286" i="1"/>
  <c r="R286" i="1" s="1"/>
  <c r="T286" i="1" s="1"/>
  <c r="L285" i="1"/>
  <c r="S285" i="1" s="1"/>
  <c r="K285" i="1"/>
  <c r="Q285" i="1" s="1"/>
  <c r="L284" i="1"/>
  <c r="S284" i="1" s="1"/>
  <c r="K284" i="1"/>
  <c r="Q284" i="1" s="1"/>
  <c r="L283" i="1"/>
  <c r="S283" i="1" s="1"/>
  <c r="K283" i="1"/>
  <c r="L282" i="1"/>
  <c r="S282" i="1" s="1"/>
  <c r="K282" i="1"/>
  <c r="R282" i="1" s="1"/>
  <c r="T282" i="1" s="1"/>
  <c r="L281" i="1"/>
  <c r="S281" i="1" s="1"/>
  <c r="K281" i="1"/>
  <c r="L280" i="1"/>
  <c r="S280" i="1" s="1"/>
  <c r="K280" i="1"/>
  <c r="Q280" i="1" s="1"/>
  <c r="L279" i="1"/>
  <c r="S279" i="1" s="1"/>
  <c r="K279" i="1"/>
  <c r="R279" i="1" s="1"/>
  <c r="T279" i="1" s="1"/>
  <c r="L278" i="1"/>
  <c r="S278" i="1" s="1"/>
  <c r="K278" i="1"/>
  <c r="Q278" i="1" s="1"/>
  <c r="L277" i="1"/>
  <c r="S277" i="1" s="1"/>
  <c r="K277" i="1"/>
  <c r="R277" i="1" s="1"/>
  <c r="T277" i="1" s="1"/>
  <c r="L276" i="1"/>
  <c r="S276" i="1" s="1"/>
  <c r="K276" i="1"/>
  <c r="Q276" i="1" s="1"/>
  <c r="L275" i="1"/>
  <c r="S275" i="1" s="1"/>
  <c r="K275" i="1"/>
  <c r="Q275" i="1" s="1"/>
  <c r="J275" i="1"/>
  <c r="L274" i="1"/>
  <c r="S274" i="1" s="1"/>
  <c r="K274" i="1"/>
  <c r="Q274" i="1" s="1"/>
  <c r="L273" i="1"/>
  <c r="S273" i="1" s="1"/>
  <c r="K273" i="1"/>
  <c r="L272" i="1"/>
  <c r="S272" i="1" s="1"/>
  <c r="K272" i="1"/>
  <c r="Q272" i="1" s="1"/>
  <c r="L271" i="1"/>
  <c r="S271" i="1" s="1"/>
  <c r="K271" i="1"/>
  <c r="L270" i="1"/>
  <c r="S270" i="1" s="1"/>
  <c r="K270" i="1"/>
  <c r="L269" i="1"/>
  <c r="S269" i="1" s="1"/>
  <c r="K269" i="1"/>
  <c r="R269" i="1" s="1"/>
  <c r="T269" i="1" s="1"/>
  <c r="L268" i="1"/>
  <c r="S268" i="1" s="1"/>
  <c r="K268" i="1"/>
  <c r="R268" i="1" s="1"/>
  <c r="T268" i="1" s="1"/>
  <c r="L267" i="1"/>
  <c r="S267" i="1" s="1"/>
  <c r="K267" i="1"/>
  <c r="R267" i="1" s="1"/>
  <c r="T267" i="1" s="1"/>
  <c r="L266" i="1"/>
  <c r="S266" i="1" s="1"/>
  <c r="K266" i="1"/>
  <c r="Q266" i="1" s="1"/>
  <c r="L265" i="1"/>
  <c r="S265" i="1" s="1"/>
  <c r="K265" i="1"/>
  <c r="Q265" i="1" s="1"/>
  <c r="L264" i="1"/>
  <c r="S264" i="1" s="1"/>
  <c r="K264" i="1"/>
  <c r="Q264" i="1" s="1"/>
  <c r="L263" i="1"/>
  <c r="S263" i="1" s="1"/>
  <c r="K263" i="1"/>
  <c r="R263" i="1" s="1"/>
  <c r="T263" i="1" s="1"/>
  <c r="L262" i="1"/>
  <c r="S262" i="1" s="1"/>
  <c r="K262" i="1"/>
  <c r="R262" i="1" s="1"/>
  <c r="T262" i="1" s="1"/>
  <c r="L261" i="1"/>
  <c r="S261" i="1" s="1"/>
  <c r="K261" i="1"/>
  <c r="R261" i="1" s="1"/>
  <c r="T261" i="1" s="1"/>
  <c r="L260" i="1"/>
  <c r="S260" i="1" s="1"/>
  <c r="K260" i="1"/>
  <c r="R260" i="1" s="1"/>
  <c r="T260" i="1" s="1"/>
  <c r="L259" i="1"/>
  <c r="S259" i="1" s="1"/>
  <c r="K259" i="1"/>
  <c r="Q259" i="1" s="1"/>
  <c r="L258" i="1"/>
  <c r="S258" i="1" s="1"/>
  <c r="K258" i="1"/>
  <c r="R258" i="1" s="1"/>
  <c r="T258" i="1" s="1"/>
  <c r="L257" i="1"/>
  <c r="S257" i="1" s="1"/>
  <c r="K257" i="1"/>
  <c r="Q257" i="1" s="1"/>
  <c r="L256" i="1"/>
  <c r="S256" i="1" s="1"/>
  <c r="K256" i="1"/>
  <c r="R256" i="1" s="1"/>
  <c r="T256" i="1" s="1"/>
  <c r="L255" i="1"/>
  <c r="S255" i="1" s="1"/>
  <c r="K255" i="1"/>
  <c r="Q255" i="1" s="1"/>
  <c r="L254" i="1"/>
  <c r="S254" i="1" s="1"/>
  <c r="K254" i="1"/>
  <c r="L253" i="1"/>
  <c r="S253" i="1" s="1"/>
  <c r="K253" i="1"/>
  <c r="R253" i="1" s="1"/>
  <c r="T253" i="1" s="1"/>
  <c r="L252" i="1"/>
  <c r="S252" i="1" s="1"/>
  <c r="K252" i="1"/>
  <c r="R252" i="1" s="1"/>
  <c r="T252" i="1" s="1"/>
  <c r="L251" i="1"/>
  <c r="S251" i="1" s="1"/>
  <c r="K251" i="1"/>
  <c r="L250" i="1"/>
  <c r="S250" i="1" s="1"/>
  <c r="K250" i="1"/>
  <c r="Q250" i="1" s="1"/>
  <c r="L249" i="1"/>
  <c r="S249" i="1" s="1"/>
  <c r="K249" i="1"/>
  <c r="R249" i="1" s="1"/>
  <c r="T249" i="1" s="1"/>
  <c r="L248" i="1"/>
  <c r="S248" i="1" s="1"/>
  <c r="K248" i="1"/>
  <c r="Q248" i="1" s="1"/>
  <c r="L247" i="1"/>
  <c r="S247" i="1" s="1"/>
  <c r="K247" i="1"/>
  <c r="L246" i="1"/>
  <c r="S246" i="1" s="1"/>
  <c r="K246" i="1"/>
  <c r="L245" i="1"/>
  <c r="S245" i="1" s="1"/>
  <c r="K245" i="1"/>
  <c r="L244" i="1"/>
  <c r="S244" i="1" s="1"/>
  <c r="K244" i="1"/>
  <c r="R244" i="1" s="1"/>
  <c r="T244" i="1" s="1"/>
  <c r="L243" i="1"/>
  <c r="S243" i="1" s="1"/>
  <c r="K243" i="1"/>
  <c r="R243" i="1" s="1"/>
  <c r="T243" i="1" s="1"/>
  <c r="L242" i="1"/>
  <c r="S242" i="1" s="1"/>
  <c r="K242" i="1"/>
  <c r="L241" i="1"/>
  <c r="S241" i="1" s="1"/>
  <c r="K241" i="1"/>
  <c r="L240" i="1"/>
  <c r="S240" i="1" s="1"/>
  <c r="K240" i="1"/>
  <c r="Q240" i="1" s="1"/>
  <c r="L239" i="1"/>
  <c r="S239" i="1" s="1"/>
  <c r="K239" i="1"/>
  <c r="L238" i="1"/>
  <c r="S238" i="1" s="1"/>
  <c r="K238" i="1"/>
  <c r="Q238" i="1" s="1"/>
  <c r="L237" i="1"/>
  <c r="S237" i="1" s="1"/>
  <c r="K237" i="1"/>
  <c r="Q237" i="1" s="1"/>
  <c r="L236" i="1"/>
  <c r="S236" i="1" s="1"/>
  <c r="K236" i="1"/>
  <c r="Q236" i="1" s="1"/>
  <c r="L235" i="1"/>
  <c r="S235" i="1" s="1"/>
  <c r="K235" i="1"/>
  <c r="J235" i="1"/>
  <c r="L234" i="1"/>
  <c r="S234" i="1" s="1"/>
  <c r="K234" i="1"/>
  <c r="R234" i="1" s="1"/>
  <c r="T234" i="1" s="1"/>
  <c r="L233" i="1"/>
  <c r="S233" i="1" s="1"/>
  <c r="K233" i="1"/>
  <c r="R233" i="1" s="1"/>
  <c r="T233" i="1" s="1"/>
  <c r="L232" i="1"/>
  <c r="S232" i="1" s="1"/>
  <c r="K232" i="1"/>
  <c r="Q232" i="1" s="1"/>
  <c r="L231" i="1"/>
  <c r="S231" i="1" s="1"/>
  <c r="K231" i="1"/>
  <c r="Q231" i="1" s="1"/>
  <c r="L230" i="1"/>
  <c r="S230" i="1" s="1"/>
  <c r="K230" i="1"/>
  <c r="L229" i="1"/>
  <c r="S229" i="1" s="1"/>
  <c r="K229" i="1"/>
  <c r="R229" i="1" s="1"/>
  <c r="T229" i="1" s="1"/>
  <c r="L228" i="1"/>
  <c r="S228" i="1" s="1"/>
  <c r="K228" i="1"/>
  <c r="Q228" i="1" s="1"/>
  <c r="L227" i="1"/>
  <c r="S227" i="1" s="1"/>
  <c r="K227" i="1"/>
  <c r="Q227" i="1" s="1"/>
  <c r="L226" i="1"/>
  <c r="S226" i="1" s="1"/>
  <c r="K226" i="1"/>
  <c r="R226" i="1" s="1"/>
  <c r="T226" i="1" s="1"/>
  <c r="L225" i="1"/>
  <c r="S225" i="1" s="1"/>
  <c r="K225" i="1"/>
  <c r="L224" i="1"/>
  <c r="S224" i="1" s="1"/>
  <c r="K224" i="1"/>
  <c r="R224" i="1" s="1"/>
  <c r="T224" i="1" s="1"/>
  <c r="L223" i="1"/>
  <c r="S223" i="1" s="1"/>
  <c r="K223" i="1"/>
  <c r="R223" i="1" s="1"/>
  <c r="T223" i="1" s="1"/>
  <c r="L222" i="1"/>
  <c r="S222" i="1" s="1"/>
  <c r="K222" i="1"/>
  <c r="Q222" i="1" s="1"/>
  <c r="L221" i="1"/>
  <c r="S221" i="1" s="1"/>
  <c r="K221" i="1"/>
  <c r="Q221" i="1" s="1"/>
  <c r="L220" i="1"/>
  <c r="S220" i="1" s="1"/>
  <c r="K220" i="1"/>
  <c r="L219" i="1"/>
  <c r="S219" i="1" s="1"/>
  <c r="K219" i="1"/>
  <c r="R219" i="1" s="1"/>
  <c r="T219" i="1" s="1"/>
  <c r="L218" i="1"/>
  <c r="S218" i="1" s="1"/>
  <c r="K218" i="1"/>
  <c r="R218" i="1" s="1"/>
  <c r="T218" i="1" s="1"/>
  <c r="L217" i="1"/>
  <c r="S217" i="1" s="1"/>
  <c r="K217" i="1"/>
  <c r="R217" i="1" s="1"/>
  <c r="T217" i="1" s="1"/>
  <c r="L216" i="1"/>
  <c r="S216" i="1" s="1"/>
  <c r="K216" i="1"/>
  <c r="R216" i="1" s="1"/>
  <c r="T216" i="1" s="1"/>
  <c r="L215" i="1"/>
  <c r="S215" i="1" s="1"/>
  <c r="K215" i="1"/>
  <c r="Q215" i="1" s="1"/>
  <c r="L214" i="1"/>
  <c r="S214" i="1" s="1"/>
  <c r="K214" i="1"/>
  <c r="Q214" i="1" s="1"/>
  <c r="L213" i="1"/>
  <c r="S213" i="1" s="1"/>
  <c r="K213" i="1"/>
  <c r="Q213" i="1" s="1"/>
  <c r="L212" i="1"/>
  <c r="S212" i="1" s="1"/>
  <c r="K212" i="1"/>
  <c r="L211" i="1"/>
  <c r="S211" i="1" s="1"/>
  <c r="K211" i="1"/>
  <c r="R211" i="1" s="1"/>
  <c r="T211" i="1" s="1"/>
  <c r="L210" i="1"/>
  <c r="S210" i="1" s="1"/>
  <c r="K210" i="1"/>
  <c r="Q210" i="1" s="1"/>
  <c r="L209" i="1"/>
  <c r="S209" i="1" s="1"/>
  <c r="K209" i="1"/>
  <c r="R209" i="1" s="1"/>
  <c r="T209" i="1" s="1"/>
  <c r="L208" i="1"/>
  <c r="S208" i="1" s="1"/>
  <c r="K208" i="1"/>
  <c r="R208" i="1" s="1"/>
  <c r="T208" i="1" s="1"/>
  <c r="L207" i="1"/>
  <c r="S207" i="1" s="1"/>
  <c r="K207" i="1"/>
  <c r="L206" i="1"/>
  <c r="S206" i="1" s="1"/>
  <c r="K206" i="1"/>
  <c r="R206" i="1" s="1"/>
  <c r="T206" i="1" s="1"/>
  <c r="L205" i="1"/>
  <c r="S205" i="1" s="1"/>
  <c r="K205" i="1"/>
  <c r="L204" i="1"/>
  <c r="S204" i="1" s="1"/>
  <c r="K204" i="1"/>
  <c r="Q204" i="1" s="1"/>
  <c r="L203" i="1"/>
  <c r="S203" i="1" s="1"/>
  <c r="K203" i="1"/>
  <c r="Q203" i="1" s="1"/>
  <c r="L202" i="1"/>
  <c r="S202" i="1" s="1"/>
  <c r="K202" i="1"/>
  <c r="L201" i="1"/>
  <c r="S201" i="1" s="1"/>
  <c r="K201" i="1"/>
  <c r="Q201" i="1" s="1"/>
  <c r="L200" i="1"/>
  <c r="S200" i="1" s="1"/>
  <c r="K200" i="1"/>
  <c r="Q200" i="1" s="1"/>
  <c r="L199" i="1"/>
  <c r="S199" i="1" s="1"/>
  <c r="K199" i="1"/>
  <c r="Q199" i="1" s="1"/>
  <c r="L198" i="1"/>
  <c r="S198" i="1" s="1"/>
  <c r="K198" i="1"/>
  <c r="R198" i="1" s="1"/>
  <c r="T198" i="1" s="1"/>
  <c r="L197" i="1"/>
  <c r="S197" i="1" s="1"/>
  <c r="K197" i="1"/>
  <c r="Q197" i="1" s="1"/>
  <c r="L196" i="1"/>
  <c r="S196" i="1" s="1"/>
  <c r="K196" i="1"/>
  <c r="L195" i="1"/>
  <c r="S195" i="1" s="1"/>
  <c r="K195" i="1"/>
  <c r="Q195" i="1" s="1"/>
  <c r="L194" i="1"/>
  <c r="S194" i="1" s="1"/>
  <c r="K194" i="1"/>
  <c r="R194" i="1" s="1"/>
  <c r="T194" i="1" s="1"/>
  <c r="L193" i="1"/>
  <c r="S193" i="1" s="1"/>
  <c r="K193" i="1"/>
  <c r="L192" i="1"/>
  <c r="S192" i="1" s="1"/>
  <c r="K192" i="1"/>
  <c r="R192" i="1" s="1"/>
  <c r="T192" i="1" s="1"/>
  <c r="L191" i="1"/>
  <c r="S191" i="1" s="1"/>
  <c r="K191" i="1"/>
  <c r="Q191" i="1" s="1"/>
  <c r="L190" i="1"/>
  <c r="S190" i="1" s="1"/>
  <c r="K190" i="1"/>
  <c r="R190" i="1" s="1"/>
  <c r="T190" i="1" s="1"/>
  <c r="L189" i="1"/>
  <c r="S189" i="1" s="1"/>
  <c r="K189" i="1"/>
  <c r="Q189" i="1" s="1"/>
  <c r="L188" i="1"/>
  <c r="S188" i="1" s="1"/>
  <c r="K188" i="1"/>
  <c r="R188" i="1" s="1"/>
  <c r="T188" i="1" s="1"/>
  <c r="L187" i="1"/>
  <c r="S187" i="1" s="1"/>
  <c r="K187" i="1"/>
  <c r="R187" i="1" s="1"/>
  <c r="T187" i="1" s="1"/>
  <c r="L186" i="1"/>
  <c r="S186" i="1" s="1"/>
  <c r="K186" i="1"/>
  <c r="R186" i="1" s="1"/>
  <c r="T186" i="1" s="1"/>
  <c r="L185" i="1"/>
  <c r="S185" i="1" s="1"/>
  <c r="K185" i="1"/>
  <c r="R185" i="1" s="1"/>
  <c r="T185" i="1" s="1"/>
  <c r="L184" i="1"/>
  <c r="S184" i="1" s="1"/>
  <c r="K184" i="1"/>
  <c r="R184" i="1" s="1"/>
  <c r="T184" i="1" s="1"/>
  <c r="L183" i="1"/>
  <c r="S183" i="1" s="1"/>
  <c r="K183" i="1"/>
  <c r="R183" i="1" s="1"/>
  <c r="T183" i="1" s="1"/>
  <c r="L182" i="1"/>
  <c r="S182" i="1" s="1"/>
  <c r="K182" i="1"/>
  <c r="L181" i="1"/>
  <c r="S181" i="1" s="1"/>
  <c r="K181" i="1"/>
  <c r="Q181" i="1" s="1"/>
  <c r="L180" i="1"/>
  <c r="S180" i="1" s="1"/>
  <c r="K180" i="1"/>
  <c r="R180" i="1" s="1"/>
  <c r="T180" i="1" s="1"/>
  <c r="L179" i="1"/>
  <c r="S179" i="1" s="1"/>
  <c r="K179" i="1"/>
  <c r="L178" i="1"/>
  <c r="S178" i="1" s="1"/>
  <c r="K178" i="1"/>
  <c r="R178" i="1" s="1"/>
  <c r="T178" i="1" s="1"/>
  <c r="L177" i="1"/>
  <c r="S177" i="1" s="1"/>
  <c r="K177" i="1"/>
  <c r="Q177" i="1" s="1"/>
  <c r="L176" i="1"/>
  <c r="S176" i="1" s="1"/>
  <c r="K176" i="1"/>
  <c r="R176" i="1" s="1"/>
  <c r="T176" i="1" s="1"/>
  <c r="L175" i="1"/>
  <c r="S175" i="1" s="1"/>
  <c r="K175" i="1"/>
  <c r="Q175" i="1" s="1"/>
  <c r="L174" i="1"/>
  <c r="S174" i="1" s="1"/>
  <c r="K174" i="1"/>
  <c r="Q174" i="1" s="1"/>
  <c r="L173" i="1"/>
  <c r="S173" i="1" s="1"/>
  <c r="K173" i="1"/>
  <c r="R173" i="1" s="1"/>
  <c r="T173" i="1" s="1"/>
  <c r="L172" i="1"/>
  <c r="S172" i="1" s="1"/>
  <c r="K172" i="1"/>
  <c r="Q172" i="1" s="1"/>
  <c r="L171" i="1"/>
  <c r="S171" i="1" s="1"/>
  <c r="K171" i="1"/>
  <c r="Q171" i="1" s="1"/>
  <c r="L170" i="1"/>
  <c r="S170" i="1" s="1"/>
  <c r="K170" i="1"/>
  <c r="R170" i="1" s="1"/>
  <c r="T170" i="1" s="1"/>
  <c r="L169" i="1"/>
  <c r="S169" i="1" s="1"/>
  <c r="K169" i="1"/>
  <c r="L168" i="1"/>
  <c r="S168" i="1" s="1"/>
  <c r="K168" i="1"/>
  <c r="Q168" i="1" s="1"/>
  <c r="L167" i="1"/>
  <c r="S167" i="1" s="1"/>
  <c r="K167" i="1"/>
  <c r="Q167" i="1" s="1"/>
  <c r="L166" i="1"/>
  <c r="S166" i="1" s="1"/>
  <c r="K166" i="1"/>
  <c r="Q166" i="1" s="1"/>
  <c r="L165" i="1"/>
  <c r="S165" i="1" s="1"/>
  <c r="K165" i="1"/>
  <c r="L164" i="1"/>
  <c r="S164" i="1" s="1"/>
  <c r="K164" i="1"/>
  <c r="Q164" i="1" s="1"/>
  <c r="L163" i="1"/>
  <c r="S163" i="1" s="1"/>
  <c r="K163" i="1"/>
  <c r="R163" i="1" s="1"/>
  <c r="T163" i="1" s="1"/>
  <c r="L162" i="1"/>
  <c r="S162" i="1" s="1"/>
  <c r="K162" i="1"/>
  <c r="R162" i="1" s="1"/>
  <c r="T162" i="1" s="1"/>
  <c r="L161" i="1"/>
  <c r="S161" i="1" s="1"/>
  <c r="K161" i="1"/>
  <c r="L160" i="1"/>
  <c r="S160" i="1" s="1"/>
  <c r="K160" i="1"/>
  <c r="Q160" i="1" s="1"/>
  <c r="L159" i="1"/>
  <c r="S159" i="1" s="1"/>
  <c r="K159" i="1"/>
  <c r="Q159" i="1" s="1"/>
  <c r="L158" i="1"/>
  <c r="S158" i="1" s="1"/>
  <c r="K158" i="1"/>
  <c r="R158" i="1" s="1"/>
  <c r="T158" i="1" s="1"/>
  <c r="L157" i="1"/>
  <c r="S157" i="1" s="1"/>
  <c r="K157" i="1"/>
  <c r="Q157" i="1" s="1"/>
  <c r="L156" i="1"/>
  <c r="S156" i="1" s="1"/>
  <c r="K156" i="1"/>
  <c r="Q156" i="1" s="1"/>
  <c r="J156" i="1"/>
  <c r="L155" i="1"/>
  <c r="S155" i="1" s="1"/>
  <c r="K155" i="1"/>
  <c r="L154" i="1"/>
  <c r="S154" i="1" s="1"/>
  <c r="K154" i="1"/>
  <c r="Q154" i="1" s="1"/>
  <c r="L153" i="1"/>
  <c r="S153" i="1" s="1"/>
  <c r="K153" i="1"/>
  <c r="R153" i="1" s="1"/>
  <c r="T153" i="1" s="1"/>
  <c r="L152" i="1"/>
  <c r="S152" i="1" s="1"/>
  <c r="K152" i="1"/>
  <c r="Q152" i="1" s="1"/>
  <c r="L151" i="1"/>
  <c r="S151" i="1" s="1"/>
  <c r="K151" i="1"/>
  <c r="Q151" i="1" s="1"/>
  <c r="L150" i="1"/>
  <c r="S150" i="1" s="1"/>
  <c r="K150" i="1"/>
  <c r="Q150" i="1" s="1"/>
  <c r="L149" i="1"/>
  <c r="S149" i="1" s="1"/>
  <c r="K149" i="1"/>
  <c r="L148" i="1"/>
  <c r="S148" i="1" s="1"/>
  <c r="K148" i="1"/>
  <c r="R148" i="1" s="1"/>
  <c r="T148" i="1" s="1"/>
  <c r="L147" i="1"/>
  <c r="S147" i="1" s="1"/>
  <c r="K147" i="1"/>
  <c r="R147" i="1" s="1"/>
  <c r="T147" i="1" s="1"/>
  <c r="L146" i="1"/>
  <c r="S146" i="1" s="1"/>
  <c r="K146" i="1"/>
  <c r="Q146" i="1" s="1"/>
  <c r="L145" i="1"/>
  <c r="S145" i="1" s="1"/>
  <c r="K145" i="1"/>
  <c r="R145" i="1" s="1"/>
  <c r="T145" i="1" s="1"/>
  <c r="L144" i="1"/>
  <c r="S144" i="1" s="1"/>
  <c r="K144" i="1"/>
  <c r="Q144" i="1" s="1"/>
  <c r="L143" i="1"/>
  <c r="S143" i="1" s="1"/>
  <c r="K143" i="1"/>
  <c r="Q143" i="1" s="1"/>
  <c r="L142" i="1"/>
  <c r="S142" i="1" s="1"/>
  <c r="K142" i="1"/>
  <c r="Q142" i="1" s="1"/>
  <c r="L141" i="1"/>
  <c r="S141" i="1" s="1"/>
  <c r="K141" i="1"/>
  <c r="R141" i="1" s="1"/>
  <c r="T141" i="1" s="1"/>
  <c r="L140" i="1"/>
  <c r="S140" i="1" s="1"/>
  <c r="K140" i="1"/>
  <c r="Q140" i="1" s="1"/>
  <c r="J140" i="1"/>
  <c r="L139" i="1"/>
  <c r="S139" i="1" s="1"/>
  <c r="K139" i="1"/>
  <c r="L138" i="1"/>
  <c r="S138" i="1" s="1"/>
  <c r="K138" i="1"/>
  <c r="Q138" i="1" s="1"/>
  <c r="L137" i="1"/>
  <c r="S137" i="1" s="1"/>
  <c r="K137" i="1"/>
  <c r="Q137" i="1" s="1"/>
  <c r="L136" i="1"/>
  <c r="S136" i="1" s="1"/>
  <c r="K136" i="1"/>
  <c r="R136" i="1" s="1"/>
  <c r="T136" i="1" s="1"/>
  <c r="L135" i="1"/>
  <c r="S135" i="1" s="1"/>
  <c r="K135" i="1"/>
  <c r="R135" i="1" s="1"/>
  <c r="T135" i="1" s="1"/>
  <c r="L134" i="1"/>
  <c r="S134" i="1" s="1"/>
  <c r="K134" i="1"/>
  <c r="R134" i="1" s="1"/>
  <c r="T134" i="1" s="1"/>
  <c r="L133" i="1"/>
  <c r="S133" i="1" s="1"/>
  <c r="K133" i="1"/>
  <c r="L132" i="1"/>
  <c r="S132" i="1" s="1"/>
  <c r="K132" i="1"/>
  <c r="R132" i="1" s="1"/>
  <c r="T132" i="1" s="1"/>
  <c r="L131" i="1"/>
  <c r="S131" i="1" s="1"/>
  <c r="K131" i="1"/>
  <c r="R131" i="1" s="1"/>
  <c r="T131" i="1" s="1"/>
  <c r="L130" i="1"/>
  <c r="S130" i="1" s="1"/>
  <c r="K130" i="1"/>
  <c r="Q130" i="1" s="1"/>
  <c r="L129" i="1"/>
  <c r="S129" i="1" s="1"/>
  <c r="K129" i="1"/>
  <c r="R129" i="1" s="1"/>
  <c r="T129" i="1" s="1"/>
  <c r="L128" i="1"/>
  <c r="S128" i="1" s="1"/>
  <c r="K128" i="1"/>
  <c r="R128" i="1" s="1"/>
  <c r="T128" i="1" s="1"/>
  <c r="L127" i="1"/>
  <c r="S127" i="1" s="1"/>
  <c r="K127" i="1"/>
  <c r="Q127" i="1" s="1"/>
  <c r="L126" i="1"/>
  <c r="S126" i="1" s="1"/>
  <c r="K126" i="1"/>
  <c r="L125" i="1"/>
  <c r="S125" i="1" s="1"/>
  <c r="K125" i="1"/>
  <c r="R125" i="1" s="1"/>
  <c r="T125" i="1" s="1"/>
  <c r="L124" i="1"/>
  <c r="S124" i="1" s="1"/>
  <c r="K124" i="1"/>
  <c r="L123" i="1"/>
  <c r="S123" i="1" s="1"/>
  <c r="K123" i="1"/>
  <c r="R123" i="1" s="1"/>
  <c r="T123" i="1" s="1"/>
  <c r="L122" i="1"/>
  <c r="S122" i="1" s="1"/>
  <c r="K122" i="1"/>
  <c r="R122" i="1" s="1"/>
  <c r="T122" i="1" s="1"/>
  <c r="L121" i="1"/>
  <c r="S121" i="1" s="1"/>
  <c r="K121" i="1"/>
  <c r="R121" i="1" s="1"/>
  <c r="T121" i="1" s="1"/>
  <c r="L120" i="1"/>
  <c r="S120" i="1" s="1"/>
  <c r="K120" i="1"/>
  <c r="Q120" i="1" s="1"/>
  <c r="L119" i="1"/>
  <c r="S119" i="1" s="1"/>
  <c r="K119" i="1"/>
  <c r="R119" i="1" s="1"/>
  <c r="T119" i="1" s="1"/>
  <c r="L118" i="1"/>
  <c r="S118" i="1" s="1"/>
  <c r="K118" i="1"/>
  <c r="R118" i="1" s="1"/>
  <c r="T118" i="1" s="1"/>
  <c r="L117" i="1"/>
  <c r="S117" i="1" s="1"/>
  <c r="K117" i="1"/>
  <c r="R117" i="1" s="1"/>
  <c r="T117" i="1" s="1"/>
  <c r="L116" i="1"/>
  <c r="S116" i="1" s="1"/>
  <c r="K116" i="1"/>
  <c r="Q116" i="1" s="1"/>
  <c r="L115" i="1"/>
  <c r="S115" i="1" s="1"/>
  <c r="K115" i="1"/>
  <c r="Q115" i="1" s="1"/>
  <c r="L114" i="1"/>
  <c r="S114" i="1" s="1"/>
  <c r="K114" i="1"/>
  <c r="Q114" i="1" s="1"/>
  <c r="L113" i="1"/>
  <c r="S113" i="1" s="1"/>
  <c r="K113" i="1"/>
  <c r="Q113" i="1" s="1"/>
  <c r="L112" i="1"/>
  <c r="S112" i="1" s="1"/>
  <c r="K112" i="1"/>
  <c r="R112" i="1" s="1"/>
  <c r="T112" i="1" s="1"/>
  <c r="L111" i="1"/>
  <c r="S111" i="1" s="1"/>
  <c r="K111" i="1"/>
  <c r="Q111" i="1" s="1"/>
  <c r="J111" i="1"/>
  <c r="L110" i="1"/>
  <c r="S110" i="1" s="1"/>
  <c r="K110" i="1"/>
  <c r="Q110" i="1" s="1"/>
  <c r="L109" i="1"/>
  <c r="S109" i="1" s="1"/>
  <c r="K109" i="1"/>
  <c r="Q109" i="1" s="1"/>
  <c r="L108" i="1"/>
  <c r="S108" i="1" s="1"/>
  <c r="K108" i="1"/>
  <c r="R108" i="1" s="1"/>
  <c r="T108" i="1" s="1"/>
  <c r="L107" i="1"/>
  <c r="S107" i="1" s="1"/>
  <c r="K107" i="1"/>
  <c r="Q107" i="1" s="1"/>
  <c r="L106" i="1"/>
  <c r="S106" i="1" s="1"/>
  <c r="K106" i="1"/>
  <c r="R106" i="1" s="1"/>
  <c r="T106" i="1" s="1"/>
  <c r="L104" i="1"/>
  <c r="S104" i="1" s="1"/>
  <c r="K104" i="1"/>
  <c r="Q104" i="1" s="1"/>
  <c r="L103" i="1"/>
  <c r="S103" i="1" s="1"/>
  <c r="K103" i="1"/>
  <c r="Q103" i="1" s="1"/>
  <c r="L102" i="1"/>
  <c r="S102" i="1" s="1"/>
  <c r="K102" i="1"/>
  <c r="R102" i="1" s="1"/>
  <c r="T102" i="1" s="1"/>
  <c r="L101" i="1"/>
  <c r="S101" i="1" s="1"/>
  <c r="K101" i="1"/>
  <c r="L100" i="1"/>
  <c r="S100" i="1" s="1"/>
  <c r="K100" i="1"/>
  <c r="R100" i="1" s="1"/>
  <c r="T100" i="1" s="1"/>
  <c r="P632" i="1"/>
  <c r="L98" i="1"/>
  <c r="S98" i="1" s="1"/>
  <c r="K98" i="1"/>
  <c r="Q98" i="1" s="1"/>
  <c r="L97" i="1"/>
  <c r="S97" i="1" s="1"/>
  <c r="K97" i="1"/>
  <c r="R97" i="1" s="1"/>
  <c r="T97" i="1" s="1"/>
  <c r="L96" i="1"/>
  <c r="S96" i="1" s="1"/>
  <c r="K96" i="1"/>
  <c r="R96" i="1" s="1"/>
  <c r="T96" i="1" s="1"/>
  <c r="L95" i="1"/>
  <c r="S95" i="1" s="1"/>
  <c r="K95" i="1"/>
  <c r="R95" i="1" s="1"/>
  <c r="T95" i="1" s="1"/>
  <c r="L94" i="1"/>
  <c r="S94" i="1" s="1"/>
  <c r="K94" i="1"/>
  <c r="Q94" i="1" s="1"/>
  <c r="L93" i="1"/>
  <c r="S93" i="1" s="1"/>
  <c r="K93" i="1"/>
  <c r="Q93" i="1" s="1"/>
  <c r="L92" i="1"/>
  <c r="S92" i="1" s="1"/>
  <c r="K92" i="1"/>
  <c r="Q92" i="1" s="1"/>
  <c r="J92" i="1"/>
  <c r="L91" i="1"/>
  <c r="S91" i="1" s="1"/>
  <c r="K91" i="1"/>
  <c r="R91" i="1" s="1"/>
  <c r="T91" i="1" s="1"/>
  <c r="L90" i="1"/>
  <c r="S90" i="1" s="1"/>
  <c r="K90" i="1"/>
  <c r="Q90" i="1" s="1"/>
  <c r="L89" i="1"/>
  <c r="S89" i="1" s="1"/>
  <c r="K89" i="1"/>
  <c r="R89" i="1" s="1"/>
  <c r="T89" i="1" s="1"/>
  <c r="L88" i="1"/>
  <c r="S88" i="1" s="1"/>
  <c r="K88" i="1"/>
  <c r="Q88" i="1" s="1"/>
  <c r="L87" i="1"/>
  <c r="S87" i="1" s="1"/>
  <c r="K87" i="1"/>
  <c r="Q87" i="1" s="1"/>
  <c r="L86" i="1"/>
  <c r="S86" i="1" s="1"/>
  <c r="K86" i="1"/>
  <c r="R86" i="1" s="1"/>
  <c r="T86" i="1" s="1"/>
  <c r="L85" i="1"/>
  <c r="S85" i="1" s="1"/>
  <c r="K85" i="1"/>
  <c r="Q85" i="1" s="1"/>
  <c r="L84" i="1"/>
  <c r="S84" i="1" s="1"/>
  <c r="K84" i="1"/>
  <c r="R84" i="1" s="1"/>
  <c r="T84" i="1" s="1"/>
  <c r="L83" i="1"/>
  <c r="S83" i="1" s="1"/>
  <c r="K83" i="1"/>
  <c r="R83" i="1" s="1"/>
  <c r="T83" i="1" s="1"/>
  <c r="L82" i="1"/>
  <c r="S82" i="1" s="1"/>
  <c r="K82" i="1"/>
  <c r="L81" i="1"/>
  <c r="S81" i="1" s="1"/>
  <c r="K81" i="1"/>
  <c r="R81" i="1" s="1"/>
  <c r="T81" i="1" s="1"/>
  <c r="L80" i="1"/>
  <c r="S80" i="1" s="1"/>
  <c r="K80" i="1"/>
  <c r="Q80" i="1" s="1"/>
  <c r="L79" i="1"/>
  <c r="S79" i="1" s="1"/>
  <c r="K79" i="1"/>
  <c r="R79" i="1" s="1"/>
  <c r="T79" i="1" s="1"/>
  <c r="L78" i="1"/>
  <c r="S78" i="1" s="1"/>
  <c r="K78" i="1"/>
  <c r="Q78" i="1" s="1"/>
  <c r="L77" i="1"/>
  <c r="S77" i="1" s="1"/>
  <c r="K77" i="1"/>
  <c r="R77" i="1" s="1"/>
  <c r="T77" i="1" s="1"/>
  <c r="L76" i="1"/>
  <c r="S76" i="1" s="1"/>
  <c r="K76" i="1"/>
  <c r="R76" i="1" s="1"/>
  <c r="T76" i="1" s="1"/>
  <c r="L75" i="1"/>
  <c r="S75" i="1" s="1"/>
  <c r="K75" i="1"/>
  <c r="Q75" i="1" s="1"/>
  <c r="L74" i="1"/>
  <c r="S74" i="1" s="1"/>
  <c r="K74" i="1"/>
  <c r="L73" i="1"/>
  <c r="S73" i="1" s="1"/>
  <c r="K73" i="1"/>
  <c r="Q73" i="1" s="1"/>
  <c r="L71" i="1"/>
  <c r="S71" i="1" s="1"/>
  <c r="K71" i="1"/>
  <c r="Q71" i="1" s="1"/>
  <c r="L70" i="1"/>
  <c r="S70" i="1" s="1"/>
  <c r="K70" i="1"/>
  <c r="R70" i="1" s="1"/>
  <c r="T70" i="1" s="1"/>
  <c r="L69" i="1"/>
  <c r="S69" i="1" s="1"/>
  <c r="K69" i="1"/>
  <c r="R69" i="1" s="1"/>
  <c r="T69" i="1" s="1"/>
  <c r="L68" i="1"/>
  <c r="S68" i="1" s="1"/>
  <c r="K68" i="1"/>
  <c r="R68" i="1" s="1"/>
  <c r="T68" i="1" s="1"/>
  <c r="L67" i="1"/>
  <c r="S67" i="1" s="1"/>
  <c r="K67" i="1"/>
  <c r="Q67" i="1" s="1"/>
  <c r="L66" i="1"/>
  <c r="S66" i="1" s="1"/>
  <c r="K66" i="1"/>
  <c r="Q66" i="1" s="1"/>
  <c r="L65" i="1"/>
  <c r="S65" i="1" s="1"/>
  <c r="K65" i="1"/>
  <c r="R65" i="1" s="1"/>
  <c r="T65" i="1" s="1"/>
  <c r="L64" i="1"/>
  <c r="S64" i="1" s="1"/>
  <c r="K64" i="1"/>
  <c r="Q64" i="1" s="1"/>
  <c r="L63" i="1"/>
  <c r="S63" i="1" s="1"/>
  <c r="K63" i="1"/>
  <c r="R63" i="1" s="1"/>
  <c r="T63" i="1" s="1"/>
  <c r="L62" i="1"/>
  <c r="S62" i="1" s="1"/>
  <c r="K62" i="1"/>
  <c r="Q62" i="1" s="1"/>
  <c r="J62" i="1"/>
  <c r="L61" i="1"/>
  <c r="S61" i="1" s="1"/>
  <c r="K61" i="1"/>
  <c r="Q61" i="1" s="1"/>
  <c r="L59" i="1"/>
  <c r="S59" i="1" s="1"/>
  <c r="K59" i="1"/>
  <c r="R59" i="1" s="1"/>
  <c r="T59" i="1" s="1"/>
  <c r="L58" i="1"/>
  <c r="S58" i="1" s="1"/>
  <c r="K58" i="1"/>
  <c r="R58" i="1" s="1"/>
  <c r="T58" i="1" s="1"/>
  <c r="L57" i="1"/>
  <c r="S57" i="1" s="1"/>
  <c r="K57" i="1"/>
  <c r="R57" i="1" s="1"/>
  <c r="T57" i="1" s="1"/>
  <c r="L55" i="1"/>
  <c r="S55" i="1" s="1"/>
  <c r="K55" i="1"/>
  <c r="Q55" i="1" s="1"/>
  <c r="L54" i="1"/>
  <c r="S54" i="1" s="1"/>
  <c r="K54" i="1"/>
  <c r="Q54" i="1" s="1"/>
  <c r="L53" i="1"/>
  <c r="S53" i="1" s="1"/>
  <c r="K53" i="1"/>
  <c r="R53" i="1" s="1"/>
  <c r="T53" i="1" s="1"/>
  <c r="L52" i="1"/>
  <c r="S52" i="1" s="1"/>
  <c r="K52" i="1"/>
  <c r="Q52" i="1" s="1"/>
  <c r="L51" i="1"/>
  <c r="S51" i="1" s="1"/>
  <c r="K51" i="1"/>
  <c r="L50" i="1"/>
  <c r="S50" i="1" s="1"/>
  <c r="K50" i="1"/>
  <c r="R50" i="1" s="1"/>
  <c r="T50" i="1" s="1"/>
  <c r="L49" i="1"/>
  <c r="S49" i="1" s="1"/>
  <c r="K49" i="1"/>
  <c r="J49" i="1"/>
  <c r="L48" i="1"/>
  <c r="S48" i="1" s="1"/>
  <c r="K48" i="1"/>
  <c r="Q48" i="1" s="1"/>
  <c r="L47" i="1"/>
  <c r="S47" i="1" s="1"/>
  <c r="K47" i="1"/>
  <c r="J47" i="1"/>
  <c r="L46" i="1"/>
  <c r="S46" i="1" s="1"/>
  <c r="K46" i="1"/>
  <c r="L45" i="1"/>
  <c r="S45" i="1" s="1"/>
  <c r="K45" i="1"/>
  <c r="Q45" i="1" s="1"/>
  <c r="L44" i="1"/>
  <c r="S44" i="1" s="1"/>
  <c r="K44" i="1"/>
  <c r="R44" i="1" s="1"/>
  <c r="T44" i="1" s="1"/>
  <c r="L43" i="1"/>
  <c r="S43" i="1" s="1"/>
  <c r="K43" i="1"/>
  <c r="R43" i="1" s="1"/>
  <c r="T43" i="1" s="1"/>
  <c r="L42" i="1"/>
  <c r="S42" i="1" s="1"/>
  <c r="K42" i="1"/>
  <c r="Q42" i="1" s="1"/>
  <c r="L41" i="1"/>
  <c r="S41" i="1" s="1"/>
  <c r="K41" i="1"/>
  <c r="Q41" i="1" s="1"/>
  <c r="L40" i="1"/>
  <c r="S40" i="1" s="1"/>
  <c r="K40" i="1"/>
  <c r="Q40" i="1" s="1"/>
  <c r="L39" i="1"/>
  <c r="S39" i="1" s="1"/>
  <c r="K39" i="1"/>
  <c r="Q39" i="1" s="1"/>
  <c r="L38" i="1"/>
  <c r="S38" i="1" s="1"/>
  <c r="K38" i="1"/>
  <c r="R38" i="1" s="1"/>
  <c r="T38" i="1" s="1"/>
  <c r="L37" i="1"/>
  <c r="S37" i="1" s="1"/>
  <c r="K37" i="1"/>
  <c r="L36" i="1"/>
  <c r="S36" i="1" s="1"/>
  <c r="K36" i="1"/>
  <c r="Q36" i="1" s="1"/>
  <c r="L35" i="1"/>
  <c r="S35" i="1" s="1"/>
  <c r="K35" i="1"/>
  <c r="Q35" i="1" s="1"/>
  <c r="J35" i="1"/>
  <c r="L34" i="1"/>
  <c r="S34" i="1" s="1"/>
  <c r="K34" i="1"/>
  <c r="Q34" i="1" s="1"/>
  <c r="L33" i="1"/>
  <c r="S33" i="1" s="1"/>
  <c r="K33" i="1"/>
  <c r="R33" i="1" s="1"/>
  <c r="T33" i="1" s="1"/>
  <c r="L32" i="1"/>
  <c r="S32" i="1" s="1"/>
  <c r="K32" i="1"/>
  <c r="R32" i="1" s="1"/>
  <c r="T32" i="1" s="1"/>
  <c r="L31" i="1"/>
  <c r="S31" i="1" s="1"/>
  <c r="K31" i="1"/>
  <c r="L30" i="1"/>
  <c r="S30" i="1" s="1"/>
  <c r="K30" i="1"/>
  <c r="R30" i="1" s="1"/>
  <c r="T30" i="1" s="1"/>
  <c r="L29" i="1"/>
  <c r="S29" i="1" s="1"/>
  <c r="K29" i="1"/>
  <c r="Q29" i="1" s="1"/>
  <c r="L28" i="1"/>
  <c r="S28" i="1" s="1"/>
  <c r="K28" i="1"/>
  <c r="R28" i="1" s="1"/>
  <c r="T28" i="1" s="1"/>
  <c r="L27" i="1"/>
  <c r="S27" i="1" s="1"/>
  <c r="K27" i="1"/>
  <c r="L26" i="1"/>
  <c r="S26" i="1" s="1"/>
  <c r="K26" i="1"/>
  <c r="L25" i="1"/>
  <c r="S25" i="1" s="1"/>
  <c r="K25" i="1"/>
  <c r="Q25" i="1" s="1"/>
  <c r="L24" i="1"/>
  <c r="S24" i="1" s="1"/>
  <c r="K24" i="1"/>
  <c r="R24" i="1" s="1"/>
  <c r="T24" i="1" s="1"/>
  <c r="L23" i="1"/>
  <c r="S23" i="1" s="1"/>
  <c r="K23" i="1"/>
  <c r="Q23" i="1" s="1"/>
  <c r="L22" i="1"/>
  <c r="S22" i="1" s="1"/>
  <c r="K22" i="1"/>
  <c r="Q22" i="1" s="1"/>
  <c r="L21" i="1"/>
  <c r="S21" i="1" s="1"/>
  <c r="K21" i="1"/>
  <c r="L20" i="1"/>
  <c r="S20" i="1" s="1"/>
  <c r="K20" i="1"/>
  <c r="R20" i="1" s="1"/>
  <c r="T20" i="1" s="1"/>
  <c r="L19" i="1"/>
  <c r="S19" i="1" s="1"/>
  <c r="K19" i="1"/>
  <c r="Q19" i="1" s="1"/>
  <c r="J19" i="1"/>
  <c r="L18" i="1"/>
  <c r="S18" i="1" s="1"/>
  <c r="K18" i="1"/>
  <c r="Q18" i="1" s="1"/>
  <c r="J18" i="1"/>
  <c r="L17" i="1"/>
  <c r="S17" i="1" s="1"/>
  <c r="K17" i="1"/>
  <c r="Q17" i="1" s="1"/>
  <c r="L16" i="1"/>
  <c r="K16" i="1"/>
  <c r="R628" i="1" l="1"/>
  <c r="T628" i="1" s="1"/>
  <c r="R18" i="1"/>
  <c r="T18" i="1" s="1"/>
  <c r="R19" i="1"/>
  <c r="T19" i="1" s="1"/>
  <c r="R45" i="1"/>
  <c r="T45" i="1" s="1"/>
  <c r="R340" i="1"/>
  <c r="T340" i="1" s="1"/>
  <c r="R150" i="1"/>
  <c r="T150" i="1" s="1"/>
  <c r="R583" i="1"/>
  <c r="T583" i="1" s="1"/>
  <c r="Q184" i="1"/>
  <c r="Q481" i="1"/>
  <c r="R381" i="1"/>
  <c r="T381" i="1" s="1"/>
  <c r="R602" i="1"/>
  <c r="T602" i="1" s="1"/>
  <c r="Q388" i="1"/>
  <c r="R618" i="1"/>
  <c r="T618" i="1" s="1"/>
  <c r="R203" i="1"/>
  <c r="T203" i="1" s="1"/>
  <c r="R456" i="1"/>
  <c r="T456" i="1" s="1"/>
  <c r="R479" i="1"/>
  <c r="T479" i="1" s="1"/>
  <c r="R503" i="1"/>
  <c r="T503" i="1" s="1"/>
  <c r="R221" i="1"/>
  <c r="T221" i="1" s="1"/>
  <c r="R604" i="1"/>
  <c r="T604" i="1" s="1"/>
  <c r="R401" i="1"/>
  <c r="T401" i="1" s="1"/>
  <c r="R545" i="1"/>
  <c r="T545" i="1" s="1"/>
  <c r="R591" i="1"/>
  <c r="T591" i="1" s="1"/>
  <c r="R29" i="1"/>
  <c r="T29" i="1" s="1"/>
  <c r="R238" i="1"/>
  <c r="T238" i="1" s="1"/>
  <c r="R255" i="1"/>
  <c r="T255" i="1" s="1"/>
  <c r="R62" i="1"/>
  <c r="T62" i="1" s="1"/>
  <c r="R313" i="1"/>
  <c r="T313" i="1" s="1"/>
  <c r="R512" i="1"/>
  <c r="T512" i="1" s="1"/>
  <c r="R588" i="1"/>
  <c r="T588" i="1" s="1"/>
  <c r="R582" i="1"/>
  <c r="T582" i="1" s="1"/>
  <c r="R47" i="1"/>
  <c r="T47" i="1" s="1"/>
  <c r="Q63" i="1"/>
  <c r="R436" i="1"/>
  <c r="T436" i="1" s="1"/>
  <c r="R532" i="1"/>
  <c r="T532" i="1" s="1"/>
  <c r="R422" i="1"/>
  <c r="T422" i="1" s="1"/>
  <c r="R42" i="1"/>
  <c r="T42" i="1" s="1"/>
  <c r="Q28" i="1"/>
  <c r="R415" i="1"/>
  <c r="T415" i="1" s="1"/>
  <c r="R526" i="1"/>
  <c r="T526" i="1" s="1"/>
  <c r="R87" i="1"/>
  <c r="T87" i="1" s="1"/>
  <c r="R195" i="1"/>
  <c r="T195" i="1" s="1"/>
  <c r="R164" i="1"/>
  <c r="T164" i="1" s="1"/>
  <c r="R227" i="1"/>
  <c r="T227" i="1" s="1"/>
  <c r="R92" i="1"/>
  <c r="T92" i="1" s="1"/>
  <c r="R160" i="1"/>
  <c r="T160" i="1" s="1"/>
  <c r="R257" i="1"/>
  <c r="T257" i="1" s="1"/>
  <c r="R280" i="1"/>
  <c r="T280" i="1" s="1"/>
  <c r="R320" i="1"/>
  <c r="T320" i="1" s="1"/>
  <c r="R146" i="1"/>
  <c r="T146" i="1" s="1"/>
  <c r="Q153" i="1"/>
  <c r="R177" i="1"/>
  <c r="T177" i="1" s="1"/>
  <c r="R215" i="1"/>
  <c r="T215" i="1" s="1"/>
  <c r="R272" i="1"/>
  <c r="T272" i="1" s="1"/>
  <c r="R451" i="1"/>
  <c r="T451" i="1" s="1"/>
  <c r="Q504" i="1"/>
  <c r="R379" i="1"/>
  <c r="T379" i="1" s="1"/>
  <c r="R52" i="1"/>
  <c r="T52" i="1" s="1"/>
  <c r="R114" i="1"/>
  <c r="T114" i="1" s="1"/>
  <c r="R228" i="1"/>
  <c r="T228" i="1" s="1"/>
  <c r="R275" i="1"/>
  <c r="T275" i="1" s="1"/>
  <c r="S617" i="1"/>
  <c r="Q370" i="1"/>
  <c r="Q306" i="1"/>
  <c r="Q490" i="1"/>
  <c r="R557" i="1"/>
  <c r="T557" i="1" s="1"/>
  <c r="Q485" i="1"/>
  <c r="Q418" i="1"/>
  <c r="Q450" i="1"/>
  <c r="R175" i="1"/>
  <c r="T175" i="1" s="1"/>
  <c r="R616" i="1"/>
  <c r="T616" i="1" s="1"/>
  <c r="R441" i="1"/>
  <c r="T441" i="1" s="1"/>
  <c r="R586" i="1"/>
  <c r="T586" i="1" s="1"/>
  <c r="R617" i="1"/>
  <c r="T617" i="1" s="1"/>
  <c r="R171" i="1"/>
  <c r="T171" i="1" s="1"/>
  <c r="Q190" i="1"/>
  <c r="Q321" i="1"/>
  <c r="R495" i="1"/>
  <c r="T495" i="1" s="1"/>
  <c r="R590" i="1"/>
  <c r="T590" i="1" s="1"/>
  <c r="R296" i="1"/>
  <c r="T296" i="1" s="1"/>
  <c r="R560" i="1"/>
  <c r="T560" i="1" s="1"/>
  <c r="R356" i="1"/>
  <c r="T356" i="1" s="1"/>
  <c r="R627" i="1"/>
  <c r="T627" i="1" s="1"/>
  <c r="R104" i="1"/>
  <c r="T104" i="1" s="1"/>
  <c r="R312" i="1"/>
  <c r="T312" i="1" s="1"/>
  <c r="R113" i="1"/>
  <c r="T113" i="1" s="1"/>
  <c r="Q282" i="1"/>
  <c r="Q310" i="1"/>
  <c r="R539" i="1"/>
  <c r="T539" i="1" s="1"/>
  <c r="R107" i="1"/>
  <c r="T107" i="1" s="1"/>
  <c r="R166" i="1"/>
  <c r="T166" i="1" s="1"/>
  <c r="Q224" i="1"/>
  <c r="R502" i="1"/>
  <c r="T502" i="1" s="1"/>
  <c r="R607" i="1"/>
  <c r="T607" i="1" s="1"/>
  <c r="Q209" i="1"/>
  <c r="Q288" i="1"/>
  <c r="Q499" i="1"/>
  <c r="R278" i="1"/>
  <c r="T278" i="1" s="1"/>
  <c r="R581" i="1"/>
  <c r="T581" i="1" s="1"/>
  <c r="Q32" i="1"/>
  <c r="Q383" i="1"/>
  <c r="R394" i="1"/>
  <c r="T394" i="1" s="1"/>
  <c r="R597" i="1"/>
  <c r="T597" i="1" s="1"/>
  <c r="Q69" i="1"/>
  <c r="R127" i="1"/>
  <c r="T127" i="1" s="1"/>
  <c r="R204" i="1"/>
  <c r="T204" i="1" s="1"/>
  <c r="R245" i="1"/>
  <c r="T245" i="1" s="1"/>
  <c r="R336" i="1"/>
  <c r="T336" i="1" s="1"/>
  <c r="Q438" i="1"/>
  <c r="R460" i="1"/>
  <c r="T460" i="1" s="1"/>
  <c r="R565" i="1"/>
  <c r="T565" i="1" s="1"/>
  <c r="R592" i="1"/>
  <c r="T592" i="1" s="1"/>
  <c r="R55" i="1"/>
  <c r="T55" i="1" s="1"/>
  <c r="R90" i="1"/>
  <c r="T90" i="1" s="1"/>
  <c r="R111" i="1"/>
  <c r="T111" i="1" s="1"/>
  <c r="R193" i="1"/>
  <c r="T193" i="1" s="1"/>
  <c r="Q211" i="1"/>
  <c r="Q263" i="1"/>
  <c r="R337" i="1"/>
  <c r="T337" i="1" s="1"/>
  <c r="R355" i="1"/>
  <c r="T355" i="1" s="1"/>
  <c r="R445" i="1"/>
  <c r="T445" i="1" s="1"/>
  <c r="Q472" i="1"/>
  <c r="R478" i="1"/>
  <c r="T478" i="1" s="1"/>
  <c r="R483" i="1"/>
  <c r="T483" i="1" s="1"/>
  <c r="R578" i="1"/>
  <c r="T578" i="1" s="1"/>
  <c r="R624" i="1"/>
  <c r="T624" i="1" s="1"/>
  <c r="R629" i="1"/>
  <c r="T629" i="1" s="1"/>
  <c r="R482" i="1"/>
  <c r="T482" i="1" s="1"/>
  <c r="Q564" i="1"/>
  <c r="R49" i="1"/>
  <c r="T49" i="1" s="1"/>
  <c r="R41" i="1"/>
  <c r="T41" i="1" s="1"/>
  <c r="R78" i="1"/>
  <c r="T78" i="1" s="1"/>
  <c r="Q123" i="1"/>
  <c r="R140" i="1"/>
  <c r="T140" i="1" s="1"/>
  <c r="R271" i="1"/>
  <c r="T271" i="1" s="1"/>
  <c r="R276" i="1"/>
  <c r="T276" i="1" s="1"/>
  <c r="R291" i="1"/>
  <c r="T291" i="1" s="1"/>
  <c r="R297" i="1"/>
  <c r="T297" i="1" s="1"/>
  <c r="R380" i="1"/>
  <c r="T380" i="1" s="1"/>
  <c r="Q396" i="1"/>
  <c r="Q409" i="1"/>
  <c r="Q473" i="1"/>
  <c r="Q513" i="1"/>
  <c r="R538" i="1"/>
  <c r="T538" i="1" s="1"/>
  <c r="R593" i="1"/>
  <c r="T593" i="1" s="1"/>
  <c r="R283" i="1"/>
  <c r="T283" i="1" s="1"/>
  <c r="Q324" i="1"/>
  <c r="Q295" i="1"/>
  <c r="Q234" i="1"/>
  <c r="R531" i="1"/>
  <c r="T531" i="1" s="1"/>
  <c r="Q561" i="1"/>
  <c r="Q464" i="1"/>
  <c r="R54" i="1"/>
  <c r="T54" i="1" s="1"/>
  <c r="R232" i="1"/>
  <c r="T232" i="1" s="1"/>
  <c r="R213" i="1"/>
  <c r="T213" i="1" s="1"/>
  <c r="Q218" i="1"/>
  <c r="R311" i="1"/>
  <c r="T311" i="1" s="1"/>
  <c r="R322" i="1"/>
  <c r="T322" i="1" s="1"/>
  <c r="R338" i="1"/>
  <c r="T338" i="1" s="1"/>
  <c r="R435" i="1"/>
  <c r="T435" i="1" s="1"/>
  <c r="R611" i="1"/>
  <c r="T611" i="1" s="1"/>
  <c r="Q620" i="1"/>
  <c r="R622" i="1"/>
  <c r="T622" i="1" s="1"/>
  <c r="Q121" i="1"/>
  <c r="R250" i="1"/>
  <c r="T250" i="1" s="1"/>
  <c r="Q112" i="1"/>
  <c r="R130" i="1"/>
  <c r="T130" i="1" s="1"/>
  <c r="R235" i="1"/>
  <c r="T235" i="1" s="1"/>
  <c r="R259" i="1"/>
  <c r="T259" i="1" s="1"/>
  <c r="R265" i="1"/>
  <c r="T265" i="1" s="1"/>
  <c r="Q392" i="1"/>
  <c r="R462" i="1"/>
  <c r="T462" i="1" s="1"/>
  <c r="R491" i="1"/>
  <c r="T491" i="1" s="1"/>
  <c r="Q544" i="1"/>
  <c r="R574" i="1"/>
  <c r="T574" i="1" s="1"/>
  <c r="Q579" i="1"/>
  <c r="Q626" i="1"/>
  <c r="R448" i="1"/>
  <c r="T448" i="1" s="1"/>
  <c r="Q38" i="1"/>
  <c r="Q262" i="1"/>
  <c r="R389" i="1"/>
  <c r="T389" i="1" s="1"/>
  <c r="R137" i="1"/>
  <c r="T137" i="1" s="1"/>
  <c r="R357" i="1"/>
  <c r="T357" i="1" s="1"/>
  <c r="Q369" i="1"/>
  <c r="R514" i="1"/>
  <c r="T514" i="1" s="1"/>
  <c r="R521" i="1"/>
  <c r="T521" i="1" s="1"/>
  <c r="R562" i="1"/>
  <c r="T562" i="1" s="1"/>
  <c r="R569" i="1"/>
  <c r="T569" i="1" s="1"/>
  <c r="Q611" i="1"/>
  <c r="R94" i="1"/>
  <c r="T94" i="1" s="1"/>
  <c r="R237" i="1"/>
  <c r="T237" i="1" s="1"/>
  <c r="Q371" i="1"/>
  <c r="R23" i="1"/>
  <c r="T23" i="1" s="1"/>
  <c r="Q368" i="1"/>
  <c r="R156" i="1"/>
  <c r="T156" i="1" s="1"/>
  <c r="R172" i="1"/>
  <c r="T172" i="1" s="1"/>
  <c r="Q287" i="1"/>
  <c r="R293" i="1"/>
  <c r="T293" i="1" s="1"/>
  <c r="R351" i="1"/>
  <c r="T351" i="1" s="1"/>
  <c r="Q452" i="1"/>
  <c r="Q469" i="1"/>
  <c r="Q491" i="1"/>
  <c r="R515" i="1"/>
  <c r="T515" i="1" s="1"/>
  <c r="Q601" i="1"/>
  <c r="R606" i="1"/>
  <c r="T606" i="1" s="1"/>
  <c r="R318" i="1"/>
  <c r="T318" i="1" s="1"/>
  <c r="Q318" i="1"/>
  <c r="Q432" i="1"/>
  <c r="Q169" i="1"/>
  <c r="R169" i="1"/>
  <c r="T169" i="1" s="1"/>
  <c r="Q495" i="1"/>
  <c r="Q77" i="1"/>
  <c r="R155" i="1"/>
  <c r="T155" i="1" s="1"/>
  <c r="Q155" i="1"/>
  <c r="R323" i="1"/>
  <c r="T323" i="1" s="1"/>
  <c r="Q343" i="1"/>
  <c r="R378" i="1"/>
  <c r="T378" i="1" s="1"/>
  <c r="Q378" i="1"/>
  <c r="R399" i="1"/>
  <c r="T399" i="1" s="1"/>
  <c r="Q416" i="1"/>
  <c r="R17" i="1"/>
  <c r="T17" i="1" s="1"/>
  <c r="R22" i="1"/>
  <c r="T22" i="1" s="1"/>
  <c r="Q129" i="1"/>
  <c r="R165" i="1"/>
  <c r="T165" i="1" s="1"/>
  <c r="Q165" i="1"/>
  <c r="Q271" i="1"/>
  <c r="R281" i="1"/>
  <c r="T281" i="1" s="1"/>
  <c r="Q281" i="1"/>
  <c r="Q427" i="1"/>
  <c r="R453" i="1"/>
  <c r="T453" i="1" s="1"/>
  <c r="Q453" i="1"/>
  <c r="Q575" i="1"/>
  <c r="R575" i="1"/>
  <c r="T575" i="1" s="1"/>
  <c r="R51" i="1"/>
  <c r="T51" i="1" s="1"/>
  <c r="Q51" i="1"/>
  <c r="R66" i="1"/>
  <c r="T66" i="1" s="1"/>
  <c r="Q261" i="1"/>
  <c r="Q518" i="1"/>
  <c r="Q530" i="1"/>
  <c r="R530" i="1"/>
  <c r="T530" i="1" s="1"/>
  <c r="Q594" i="1"/>
  <c r="R594" i="1"/>
  <c r="T594" i="1" s="1"/>
  <c r="R37" i="1"/>
  <c r="T37" i="1" s="1"/>
  <c r="Q37" i="1"/>
  <c r="Q126" i="1"/>
  <c r="R126" i="1"/>
  <c r="T126" i="1" s="1"/>
  <c r="R151" i="1"/>
  <c r="T151" i="1" s="1"/>
  <c r="R161" i="1"/>
  <c r="T161" i="1" s="1"/>
  <c r="Q161" i="1"/>
  <c r="R182" i="1"/>
  <c r="T182" i="1" s="1"/>
  <c r="Q182" i="1"/>
  <c r="R231" i="1"/>
  <c r="T231" i="1" s="1"/>
  <c r="R240" i="1"/>
  <c r="T240" i="1" s="1"/>
  <c r="R266" i="1"/>
  <c r="T266" i="1" s="1"/>
  <c r="R449" i="1"/>
  <c r="T449" i="1" s="1"/>
  <c r="Q449" i="1"/>
  <c r="R459" i="1"/>
  <c r="T459" i="1" s="1"/>
  <c r="Q459" i="1"/>
  <c r="R486" i="1"/>
  <c r="T486" i="1" s="1"/>
  <c r="Q486" i="1"/>
  <c r="R536" i="1"/>
  <c r="T536" i="1" s="1"/>
  <c r="Q536" i="1"/>
  <c r="R584" i="1"/>
  <c r="T584" i="1" s="1"/>
  <c r="Q584" i="1"/>
  <c r="Q95" i="1"/>
  <c r="Q327" i="1"/>
  <c r="R327" i="1"/>
  <c r="T327" i="1" s="1"/>
  <c r="R410" i="1"/>
  <c r="T410" i="1" s="1"/>
  <c r="Q410" i="1"/>
  <c r="R484" i="1"/>
  <c r="T484" i="1" s="1"/>
  <c r="Q484" i="1"/>
  <c r="Q567" i="1"/>
  <c r="R40" i="1"/>
  <c r="T40" i="1" s="1"/>
  <c r="Q27" i="1"/>
  <c r="R27" i="1"/>
  <c r="T27" i="1" s="1"/>
  <c r="Q437" i="1"/>
  <c r="R46" i="1"/>
  <c r="T46" i="1" s="1"/>
  <c r="Q46" i="1"/>
  <c r="Q193" i="1"/>
  <c r="R384" i="1"/>
  <c r="T384" i="1" s="1"/>
  <c r="Q384" i="1"/>
  <c r="R67" i="1"/>
  <c r="T67" i="1" s="1"/>
  <c r="R74" i="1"/>
  <c r="T74" i="1" s="1"/>
  <c r="Q74" i="1"/>
  <c r="R110" i="1"/>
  <c r="T110" i="1" s="1"/>
  <c r="R199" i="1"/>
  <c r="T199" i="1" s="1"/>
  <c r="R210" i="1"/>
  <c r="T210" i="1" s="1"/>
  <c r="R236" i="1"/>
  <c r="T236" i="1" s="1"/>
  <c r="Q356" i="1"/>
  <c r="R395" i="1"/>
  <c r="T395" i="1" s="1"/>
  <c r="Q395" i="1"/>
  <c r="Q570" i="1"/>
  <c r="R570" i="1"/>
  <c r="T570" i="1" s="1"/>
  <c r="R149" i="1"/>
  <c r="T149" i="1" s="1"/>
  <c r="Q149" i="1"/>
  <c r="Q86" i="1"/>
  <c r="Q223" i="1"/>
  <c r="R393" i="1"/>
  <c r="T393" i="1" s="1"/>
  <c r="Q393" i="1"/>
  <c r="R35" i="1"/>
  <c r="T35" i="1" s="1"/>
  <c r="Q49" i="1"/>
  <c r="Q247" i="1"/>
  <c r="R247" i="1"/>
  <c r="T247" i="1" s="1"/>
  <c r="Q244" i="1"/>
  <c r="R447" i="1"/>
  <c r="T447" i="1" s="1"/>
  <c r="Q447" i="1"/>
  <c r="Q556" i="1"/>
  <c r="Q139" i="1"/>
  <c r="R139" i="1"/>
  <c r="T139" i="1" s="1"/>
  <c r="Q230" i="1"/>
  <c r="R230" i="1"/>
  <c r="T230" i="1" s="1"/>
  <c r="Q81" i="1"/>
  <c r="Q260" i="1"/>
  <c r="Q534" i="1"/>
  <c r="R273" i="1"/>
  <c r="T273" i="1" s="1"/>
  <c r="Q273" i="1"/>
  <c r="Q303" i="1"/>
  <c r="R303" i="1"/>
  <c r="T303" i="1" s="1"/>
  <c r="R470" i="1"/>
  <c r="T470" i="1" s="1"/>
  <c r="Q470" i="1"/>
  <c r="Q242" i="1"/>
  <c r="R242" i="1"/>
  <c r="T242" i="1" s="1"/>
  <c r="R200" i="1"/>
  <c r="T200" i="1" s="1"/>
  <c r="R212" i="1"/>
  <c r="T212" i="1" s="1"/>
  <c r="Q212" i="1"/>
  <c r="Q331" i="1"/>
  <c r="Q357" i="1"/>
  <c r="Q363" i="1"/>
  <c r="R363" i="1"/>
  <c r="T363" i="1" s="1"/>
  <c r="R465" i="1"/>
  <c r="T465" i="1" s="1"/>
  <c r="Q596" i="1"/>
  <c r="R342" i="1"/>
  <c r="T342" i="1" s="1"/>
  <c r="Q342" i="1"/>
  <c r="R61" i="1"/>
  <c r="T61" i="1" s="1"/>
  <c r="R205" i="1"/>
  <c r="T205" i="1" s="1"/>
  <c r="Q205" i="1"/>
  <c r="R509" i="1"/>
  <c r="T509" i="1" s="1"/>
  <c r="Q509" i="1"/>
  <c r="R554" i="1"/>
  <c r="T554" i="1" s="1"/>
  <c r="Q554" i="1"/>
  <c r="Q58" i="1"/>
  <c r="R64" i="1"/>
  <c r="T64" i="1" s="1"/>
  <c r="R75" i="1"/>
  <c r="T75" i="1" s="1"/>
  <c r="Q79" i="1"/>
  <c r="Q163" i="1"/>
  <c r="Q253" i="1"/>
  <c r="Q268" i="1"/>
  <c r="R298" i="1"/>
  <c r="T298" i="1" s="1"/>
  <c r="Q305" i="1"/>
  <c r="R347" i="1"/>
  <c r="T347" i="1" s="1"/>
  <c r="Q347" i="1"/>
  <c r="Q414" i="1"/>
  <c r="Q566" i="1"/>
  <c r="R566" i="1"/>
  <c r="T566" i="1" s="1"/>
  <c r="Q249" i="1"/>
  <c r="R124" i="1"/>
  <c r="T124" i="1" s="1"/>
  <c r="Q124" i="1"/>
  <c r="R103" i="1"/>
  <c r="T103" i="1" s="1"/>
  <c r="R423" i="1"/>
  <c r="T423" i="1" s="1"/>
  <c r="Q423" i="1"/>
  <c r="R537" i="1"/>
  <c r="T537" i="1" s="1"/>
  <c r="Q543" i="1"/>
  <c r="R543" i="1"/>
  <c r="T543" i="1" s="1"/>
  <c r="Q577" i="1"/>
  <c r="Q101" i="1"/>
  <c r="R101" i="1"/>
  <c r="T101" i="1" s="1"/>
  <c r="Q133" i="1"/>
  <c r="R133" i="1"/>
  <c r="T133" i="1" s="1"/>
  <c r="R191" i="1"/>
  <c r="T191" i="1" s="1"/>
  <c r="R196" i="1"/>
  <c r="T196" i="1" s="1"/>
  <c r="Q196" i="1"/>
  <c r="Q254" i="1"/>
  <c r="R254" i="1"/>
  <c r="T254" i="1" s="1"/>
  <c r="Q358" i="1"/>
  <c r="R358" i="1"/>
  <c r="T358" i="1" s="1"/>
  <c r="Q425" i="1"/>
  <c r="R425" i="1"/>
  <c r="T425" i="1" s="1"/>
  <c r="Q612" i="1"/>
  <c r="R71" i="1"/>
  <c r="T71" i="1" s="1"/>
  <c r="R248" i="1"/>
  <c r="T248" i="1" s="1"/>
  <c r="R300" i="1"/>
  <c r="T300" i="1" s="1"/>
  <c r="R326" i="1"/>
  <c r="T326" i="1" s="1"/>
  <c r="R353" i="1"/>
  <c r="T353" i="1" s="1"/>
  <c r="R376" i="1"/>
  <c r="T376" i="1" s="1"/>
  <c r="R390" i="1"/>
  <c r="T390" i="1" s="1"/>
  <c r="R496" i="1"/>
  <c r="T496" i="1" s="1"/>
  <c r="R519" i="1"/>
  <c r="T519" i="1" s="1"/>
  <c r="R542" i="1"/>
  <c r="T542" i="1" s="1"/>
  <c r="Q589" i="1"/>
  <c r="R600" i="1"/>
  <c r="T600" i="1" s="1"/>
  <c r="R34" i="1"/>
  <c r="T34" i="1" s="1"/>
  <c r="R116" i="1"/>
  <c r="T116" i="1" s="1"/>
  <c r="R152" i="1"/>
  <c r="T152" i="1" s="1"/>
  <c r="R201" i="1"/>
  <c r="T201" i="1" s="1"/>
  <c r="Q267" i="1"/>
  <c r="Q307" i="1"/>
  <c r="Q316" i="1"/>
  <c r="R333" i="1"/>
  <c r="T333" i="1" s="1"/>
  <c r="R341" i="1"/>
  <c r="T341" i="1" s="1"/>
  <c r="R345" i="1"/>
  <c r="T345" i="1" s="1"/>
  <c r="R387" i="1"/>
  <c r="T387" i="1" s="1"/>
  <c r="R406" i="1"/>
  <c r="T406" i="1" s="1"/>
  <c r="R420" i="1"/>
  <c r="T420" i="1" s="1"/>
  <c r="Q433" i="1"/>
  <c r="Q442" i="1"/>
  <c r="Q446" i="1"/>
  <c r="R467" i="1"/>
  <c r="T467" i="1" s="1"/>
  <c r="R476" i="1"/>
  <c r="T476" i="1" s="1"/>
  <c r="Q498" i="1"/>
  <c r="Q508" i="1"/>
  <c r="R522" i="1"/>
  <c r="T522" i="1" s="1"/>
  <c r="Q525" i="1"/>
  <c r="Q535" i="1"/>
  <c r="Q548" i="1"/>
  <c r="Q553" i="1"/>
  <c r="Q587" i="1"/>
  <c r="Q621" i="1"/>
  <c r="Q625" i="1"/>
  <c r="R197" i="1"/>
  <c r="T197" i="1" s="1"/>
  <c r="R346" i="1"/>
  <c r="T346" i="1" s="1"/>
  <c r="R365" i="1"/>
  <c r="T365" i="1" s="1"/>
  <c r="Q294" i="1"/>
  <c r="R329" i="1"/>
  <c r="T329" i="1" s="1"/>
  <c r="R352" i="1"/>
  <c r="T352" i="1" s="1"/>
  <c r="Q455" i="1"/>
  <c r="R397" i="1"/>
  <c r="T397" i="1" s="1"/>
  <c r="R477" i="1"/>
  <c r="T477" i="1" s="1"/>
  <c r="R523" i="1"/>
  <c r="T523" i="1" s="1"/>
  <c r="Q407" i="1"/>
  <c r="R549" i="1"/>
  <c r="T549" i="1" s="1"/>
  <c r="R48" i="1"/>
  <c r="T48" i="1" s="1"/>
  <c r="R85" i="1"/>
  <c r="T85" i="1" s="1"/>
  <c r="R109" i="1"/>
  <c r="T109" i="1" s="1"/>
  <c r="Q198" i="1"/>
  <c r="Q217" i="1"/>
  <c r="R222" i="1"/>
  <c r="T222" i="1" s="1"/>
  <c r="Q256" i="1"/>
  <c r="Q277" i="1"/>
  <c r="R285" i="1"/>
  <c r="T285" i="1" s="1"/>
  <c r="R339" i="1"/>
  <c r="T339" i="1" s="1"/>
  <c r="R361" i="1"/>
  <c r="T361" i="1" s="1"/>
  <c r="Q417" i="1"/>
  <c r="R421" i="1"/>
  <c r="T421" i="1" s="1"/>
  <c r="R426" i="1"/>
  <c r="T426" i="1" s="1"/>
  <c r="Q431" i="1"/>
  <c r="R440" i="1"/>
  <c r="T440" i="1" s="1"/>
  <c r="R443" i="1"/>
  <c r="T443" i="1" s="1"/>
  <c r="R550" i="1"/>
  <c r="T550" i="1" s="1"/>
  <c r="Q615" i="1"/>
  <c r="R623" i="1"/>
  <c r="T623" i="1" s="1"/>
  <c r="R31" i="1"/>
  <c r="T31" i="1" s="1"/>
  <c r="Q31" i="1"/>
  <c r="R82" i="1"/>
  <c r="T82" i="1" s="1"/>
  <c r="Q82" i="1"/>
  <c r="Q108" i="1"/>
  <c r="K632" i="1"/>
  <c r="R16" i="1"/>
  <c r="Q16" i="1"/>
  <c r="Q33" i="1"/>
  <c r="Q43" i="1"/>
  <c r="Q47" i="1"/>
  <c r="R21" i="1"/>
  <c r="T21" i="1" s="1"/>
  <c r="Q21" i="1"/>
  <c r="R26" i="1"/>
  <c r="T26" i="1" s="1"/>
  <c r="Q26" i="1"/>
  <c r="R328" i="1"/>
  <c r="T328" i="1" s="1"/>
  <c r="Q328" i="1"/>
  <c r="R225" i="1"/>
  <c r="T225" i="1" s="1"/>
  <c r="Q225" i="1"/>
  <c r="R292" i="1"/>
  <c r="T292" i="1" s="1"/>
  <c r="Q292" i="1"/>
  <c r="R302" i="1"/>
  <c r="T302" i="1" s="1"/>
  <c r="R517" i="1"/>
  <c r="T517" i="1" s="1"/>
  <c r="Q517" i="1"/>
  <c r="R241" i="1"/>
  <c r="T241" i="1" s="1"/>
  <c r="Q241" i="1"/>
  <c r="R251" i="1"/>
  <c r="T251" i="1" s="1"/>
  <c r="Q251" i="1"/>
  <c r="Q119" i="1"/>
  <c r="R159" i="1"/>
  <c r="T159" i="1" s="1"/>
  <c r="R181" i="1"/>
  <c r="T181" i="1" s="1"/>
  <c r="Q258" i="1"/>
  <c r="Q299" i="1"/>
  <c r="R334" i="1"/>
  <c r="T334" i="1" s="1"/>
  <c r="R354" i="1"/>
  <c r="T354" i="1" s="1"/>
  <c r="Q354" i="1"/>
  <c r="R398" i="1"/>
  <c r="T398" i="1" s="1"/>
  <c r="Q398" i="1"/>
  <c r="Q136" i="1"/>
  <c r="Q178" i="1"/>
  <c r="Q206" i="1"/>
  <c r="Q296" i="1"/>
  <c r="R319" i="1"/>
  <c r="T319" i="1" s="1"/>
  <c r="Q319" i="1"/>
  <c r="R403" i="1"/>
  <c r="T403" i="1" s="1"/>
  <c r="Q403" i="1"/>
  <c r="R73" i="1"/>
  <c r="T73" i="1" s="1"/>
  <c r="Q106" i="1"/>
  <c r="Q122" i="1"/>
  <c r="Q125" i="1"/>
  <c r="Q128" i="1"/>
  <c r="Q141" i="1"/>
  <c r="R157" i="1"/>
  <c r="T157" i="1" s="1"/>
  <c r="Q162" i="1"/>
  <c r="Q226" i="1"/>
  <c r="Q229" i="1"/>
  <c r="Q315" i="1"/>
  <c r="R330" i="1"/>
  <c r="T330" i="1" s="1"/>
  <c r="Q330" i="1"/>
  <c r="R350" i="1"/>
  <c r="T350" i="1" s="1"/>
  <c r="R413" i="1"/>
  <c r="T413" i="1" s="1"/>
  <c r="Q413" i="1"/>
  <c r="Q24" i="1"/>
  <c r="R36" i="1"/>
  <c r="T36" i="1" s="1"/>
  <c r="R80" i="1"/>
  <c r="T80" i="1" s="1"/>
  <c r="Q188" i="1"/>
  <c r="Q216" i="1"/>
  <c r="Q219" i="1"/>
  <c r="Q235" i="1"/>
  <c r="Q245" i="1"/>
  <c r="Q279" i="1"/>
  <c r="Q289" i="1"/>
  <c r="R335" i="1"/>
  <c r="T335" i="1" s="1"/>
  <c r="Q335" i="1"/>
  <c r="R372" i="1"/>
  <c r="T372" i="1" s="1"/>
  <c r="Q372" i="1"/>
  <c r="R505" i="1"/>
  <c r="T505" i="1" s="1"/>
  <c r="Q505" i="1"/>
  <c r="R527" i="1"/>
  <c r="T527" i="1" s="1"/>
  <c r="Q527" i="1"/>
  <c r="R609" i="1"/>
  <c r="T609" i="1" s="1"/>
  <c r="Q609" i="1"/>
  <c r="R613" i="1"/>
  <c r="T613" i="1" s="1"/>
  <c r="Q613" i="1"/>
  <c r="Q102" i="1"/>
  <c r="Q50" i="1"/>
  <c r="R93" i="1"/>
  <c r="T93" i="1" s="1"/>
  <c r="Q83" i="1"/>
  <c r="R88" i="1"/>
  <c r="T88" i="1" s="1"/>
  <c r="Q131" i="1"/>
  <c r="Q134" i="1"/>
  <c r="R144" i="1"/>
  <c r="T144" i="1" s="1"/>
  <c r="R167" i="1"/>
  <c r="T167" i="1" s="1"/>
  <c r="Q170" i="1"/>
  <c r="R179" i="1"/>
  <c r="T179" i="1" s="1"/>
  <c r="Q179" i="1"/>
  <c r="Q185" i="1"/>
  <c r="Q194" i="1"/>
  <c r="R207" i="1"/>
  <c r="T207" i="1" s="1"/>
  <c r="Q207" i="1"/>
  <c r="Q286" i="1"/>
  <c r="R290" i="1"/>
  <c r="T290" i="1" s="1"/>
  <c r="Q290" i="1"/>
  <c r="R463" i="1"/>
  <c r="T463" i="1" s="1"/>
  <c r="Q463" i="1"/>
  <c r="L632" i="1"/>
  <c r="Q96" i="1"/>
  <c r="R39" i="1"/>
  <c r="T39" i="1" s="1"/>
  <c r="Q53" i="1"/>
  <c r="Q59" i="1"/>
  <c r="Q65" i="1"/>
  <c r="Q70" i="1"/>
  <c r="Q91" i="1"/>
  <c r="Q100" i="1"/>
  <c r="Q117" i="1"/>
  <c r="Q147" i="1"/>
  <c r="Q173" i="1"/>
  <c r="Q176" i="1"/>
  <c r="R220" i="1"/>
  <c r="T220" i="1" s="1"/>
  <c r="Q220" i="1"/>
  <c r="Q269" i="1"/>
  <c r="Q283" i="1"/>
  <c r="Q386" i="1"/>
  <c r="R386" i="1"/>
  <c r="T386" i="1" s="1"/>
  <c r="R501" i="1"/>
  <c r="T501" i="1" s="1"/>
  <c r="Q501" i="1"/>
  <c r="R580" i="1"/>
  <c r="T580" i="1" s="1"/>
  <c r="R98" i="1"/>
  <c r="T98" i="1" s="1"/>
  <c r="R154" i="1"/>
  <c r="T154" i="1" s="1"/>
  <c r="R120" i="1"/>
  <c r="T120" i="1" s="1"/>
  <c r="R142" i="1"/>
  <c r="T142" i="1" s="1"/>
  <c r="R214" i="1"/>
  <c r="T214" i="1" s="1"/>
  <c r="R239" i="1"/>
  <c r="T239" i="1" s="1"/>
  <c r="Q239" i="1"/>
  <c r="R270" i="1"/>
  <c r="T270" i="1" s="1"/>
  <c r="Q270" i="1"/>
  <c r="Q308" i="1"/>
  <c r="Q391" i="1"/>
  <c r="R391" i="1"/>
  <c r="T391" i="1" s="1"/>
  <c r="R605" i="1"/>
  <c r="T605" i="1" s="1"/>
  <c r="R246" i="1"/>
  <c r="T246" i="1" s="1"/>
  <c r="Q246" i="1"/>
  <c r="R309" i="1"/>
  <c r="T309" i="1" s="1"/>
  <c r="Q309" i="1"/>
  <c r="R457" i="1"/>
  <c r="T457" i="1" s="1"/>
  <c r="Q457" i="1"/>
  <c r="R317" i="1"/>
  <c r="T317" i="1" s="1"/>
  <c r="Q317" i="1"/>
  <c r="Q332" i="1"/>
  <c r="R332" i="1"/>
  <c r="T332" i="1" s="1"/>
  <c r="R382" i="1"/>
  <c r="T382" i="1" s="1"/>
  <c r="Q382" i="1"/>
  <c r="Q400" i="1"/>
  <c r="R138" i="1"/>
  <c r="T138" i="1" s="1"/>
  <c r="Q57" i="1"/>
  <c r="Q68" i="1"/>
  <c r="Q76" i="1"/>
  <c r="Q89" i="1"/>
  <c r="Q97" i="1"/>
  <c r="R115" i="1"/>
  <c r="T115" i="1" s="1"/>
  <c r="Q132" i="1"/>
  <c r="Q145" i="1"/>
  <c r="R168" i="1"/>
  <c r="T168" i="1" s="1"/>
  <c r="R189" i="1"/>
  <c r="T189" i="1" s="1"/>
  <c r="Q208" i="1"/>
  <c r="Q233" i="1"/>
  <c r="Q243" i="1"/>
  <c r="R274" i="1"/>
  <c r="T274" i="1" s="1"/>
  <c r="R284" i="1"/>
  <c r="T284" i="1" s="1"/>
  <c r="Q301" i="1"/>
  <c r="R348" i="1"/>
  <c r="T348" i="1" s="1"/>
  <c r="Q348" i="1"/>
  <c r="Q364" i="1"/>
  <c r="J632" i="1"/>
  <c r="R25" i="1"/>
  <c r="T25" i="1" s="1"/>
  <c r="Q44" i="1"/>
  <c r="Q84" i="1"/>
  <c r="Q118" i="1"/>
  <c r="Q135" i="1"/>
  <c r="Q148" i="1"/>
  <c r="Q158" i="1"/>
  <c r="R174" i="1"/>
  <c r="T174" i="1" s="1"/>
  <c r="Q180" i="1"/>
  <c r="Q183" i="1"/>
  <c r="Q186" i="1"/>
  <c r="Q466" i="1"/>
  <c r="Q520" i="1"/>
  <c r="R143" i="1"/>
  <c r="T143" i="1" s="1"/>
  <c r="S16" i="1"/>
  <c r="Q20" i="1"/>
  <c r="Q30" i="1"/>
  <c r="R202" i="1"/>
  <c r="T202" i="1" s="1"/>
  <c r="Q202" i="1"/>
  <c r="R264" i="1"/>
  <c r="T264" i="1" s="1"/>
  <c r="R344" i="1"/>
  <c r="T344" i="1" s="1"/>
  <c r="Q344" i="1"/>
  <c r="R424" i="1"/>
  <c r="T424" i="1" s="1"/>
  <c r="Q424" i="1"/>
  <c r="Q489" i="1"/>
  <c r="Q547" i="1"/>
  <c r="R349" i="1"/>
  <c r="T349" i="1" s="1"/>
  <c r="Q349" i="1"/>
  <c r="R385" i="1"/>
  <c r="T385" i="1" s="1"/>
  <c r="Q385" i="1"/>
  <c r="R528" i="1"/>
  <c r="T528" i="1" s="1"/>
  <c r="Q528" i="1"/>
  <c r="R598" i="1"/>
  <c r="T598" i="1" s="1"/>
  <c r="Q598" i="1"/>
  <c r="R419" i="1"/>
  <c r="T419" i="1" s="1"/>
  <c r="Q419" i="1"/>
  <c r="R434" i="1"/>
  <c r="T434" i="1" s="1"/>
  <c r="R506" i="1"/>
  <c r="T506" i="1" s="1"/>
  <c r="Q506" i="1"/>
  <c r="R540" i="1"/>
  <c r="T540" i="1" s="1"/>
  <c r="Q540" i="1"/>
  <c r="Q552" i="1"/>
  <c r="R555" i="1"/>
  <c r="T555" i="1" s="1"/>
  <c r="Q563" i="1"/>
  <c r="Q610" i="1"/>
  <c r="R614" i="1"/>
  <c r="T614" i="1" s="1"/>
  <c r="Q614" i="1"/>
  <c r="Q460" i="1"/>
  <c r="Q494" i="1"/>
  <c r="Q497" i="1"/>
  <c r="R571" i="1"/>
  <c r="T571" i="1" s="1"/>
  <c r="Q571" i="1"/>
  <c r="R599" i="1"/>
  <c r="T599" i="1" s="1"/>
  <c r="Q599" i="1"/>
  <c r="Q524" i="1"/>
  <c r="R603" i="1"/>
  <c r="T603" i="1" s="1"/>
  <c r="Q603" i="1"/>
  <c r="Q441" i="1"/>
  <c r="Q451" i="1"/>
  <c r="R454" i="1"/>
  <c r="T454" i="1" s="1"/>
  <c r="R458" i="1"/>
  <c r="T458" i="1" s="1"/>
  <c r="Q529" i="1"/>
  <c r="R541" i="1"/>
  <c r="T541" i="1" s="1"/>
  <c r="Q541" i="1"/>
  <c r="Q405" i="1"/>
  <c r="R408" i="1"/>
  <c r="T408" i="1" s="1"/>
  <c r="R412" i="1"/>
  <c r="T412" i="1" s="1"/>
  <c r="Q444" i="1"/>
  <c r="Q468" i="1"/>
  <c r="R471" i="1"/>
  <c r="T471" i="1" s="1"/>
  <c r="R572" i="1"/>
  <c r="T572" i="1" s="1"/>
  <c r="Q572" i="1"/>
  <c r="Q592" i="1"/>
  <c r="R325" i="1"/>
  <c r="T325" i="1" s="1"/>
  <c r="R461" i="1"/>
  <c r="T461" i="1" s="1"/>
  <c r="R487" i="1"/>
  <c r="T487" i="1" s="1"/>
  <c r="Q487" i="1"/>
  <c r="Q507" i="1"/>
  <c r="R585" i="1"/>
  <c r="T585" i="1" s="1"/>
  <c r="Q595" i="1"/>
  <c r="Q314" i="1"/>
  <c r="Q338" i="1"/>
  <c r="Q366" i="1"/>
  <c r="Q428" i="1"/>
  <c r="Q565" i="1"/>
  <c r="R568" i="1"/>
  <c r="T568" i="1" s="1"/>
  <c r="Q576" i="1"/>
  <c r="R619" i="1"/>
  <c r="T619" i="1" s="1"/>
  <c r="Q619" i="1"/>
  <c r="R488" i="1"/>
  <c r="T488" i="1" s="1"/>
  <c r="Q488" i="1"/>
  <c r="R546" i="1"/>
  <c r="T546" i="1" s="1"/>
  <c r="Q546" i="1"/>
  <c r="R608" i="1"/>
  <c r="T608" i="1" s="1"/>
  <c r="Q608" i="1"/>
  <c r="Q187" i="1"/>
  <c r="Q192" i="1"/>
  <c r="Q252" i="1"/>
  <c r="R359" i="1"/>
  <c r="T359" i="1" s="1"/>
  <c r="Q359" i="1"/>
  <c r="Q374" i="1"/>
  <c r="Q377" i="1"/>
  <c r="Q402" i="1"/>
  <c r="R480" i="1"/>
  <c r="T480" i="1" s="1"/>
  <c r="Q573" i="1"/>
  <c r="R439" i="1"/>
  <c r="T439" i="1" s="1"/>
  <c r="R500" i="1"/>
  <c r="T500" i="1" s="1"/>
  <c r="Q500" i="1"/>
  <c r="R516" i="1"/>
  <c r="T516" i="1" s="1"/>
  <c r="Q516" i="1"/>
  <c r="Q411" i="1"/>
  <c r="Q429" i="1"/>
  <c r="Q474" i="1"/>
  <c r="Q492" i="1"/>
  <c r="Q510" i="1"/>
  <c r="Q558" i="1"/>
  <c r="Q362" i="1"/>
  <c r="Q367" i="1"/>
  <c r="Q375" i="1"/>
  <c r="Q360" i="1"/>
  <c r="Q373" i="1"/>
  <c r="Q404" i="1"/>
  <c r="Q430" i="1"/>
  <c r="Q475" i="1"/>
  <c r="Q493" i="1"/>
  <c r="Q511" i="1"/>
  <c r="Q533" i="1"/>
  <c r="Q551" i="1"/>
  <c r="Q559" i="1"/>
  <c r="Q624" i="1"/>
  <c r="Q629" i="1"/>
  <c r="S632" i="1" l="1"/>
  <c r="Q632" i="1"/>
  <c r="R632" i="1"/>
  <c r="T16" i="1"/>
  <c r="T632" i="1" s="1"/>
</calcChain>
</file>

<file path=xl/sharedStrings.xml><?xml version="1.0" encoding="utf-8"?>
<sst xmlns="http://schemas.openxmlformats.org/spreadsheetml/2006/main" count="3103" uniqueCount="748">
  <si>
    <t>Seguro Social (Ley 87-01)</t>
  </si>
  <si>
    <t>Seguro de Pensión (9.97%)</t>
  </si>
  <si>
    <t>Seguro Salud (10.53) (3')</t>
  </si>
  <si>
    <t>Registro Dependiente</t>
  </si>
  <si>
    <t>Total de retenciones y aporte</t>
  </si>
  <si>
    <t>No.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</si>
  <si>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</si>
  <si>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</si>
  <si>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</si>
  <si>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</si>
  <si>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</si>
  <si>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</si>
  <si>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</si>
  <si>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</si>
  <si>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</si>
  <si>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</si>
  <si>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</si>
  <si>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</si>
  <si>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</si>
  <si>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</si>
  <si>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</si>
  <si>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</si>
  <si>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</si>
  <si>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</si>
  <si>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</si>
  <si>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</si>
  <si>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Marcos Salvador De Leon Pimentel</t>
  </si>
  <si>
    <t>Director General</t>
  </si>
  <si>
    <t xml:space="preserve">Despacho del Director </t>
  </si>
  <si>
    <t>FIJO</t>
  </si>
  <si>
    <t>M</t>
  </si>
  <si>
    <t>Maximo Soriano De Los Santos</t>
  </si>
  <si>
    <t>Subdirector</t>
  </si>
  <si>
    <t>Helen Dahiana Medina Garcia</t>
  </si>
  <si>
    <t>Subdirectora Financiera</t>
  </si>
  <si>
    <t>Departamento Administrativo Financiera</t>
  </si>
  <si>
    <t>F</t>
  </si>
  <si>
    <t>Marcos Jesus Colon Arache</t>
  </si>
  <si>
    <t>Subdirector Administrativo</t>
  </si>
  <si>
    <t>Adolfo Portes Alcantara</t>
  </si>
  <si>
    <t>Subdirector Juridico</t>
  </si>
  <si>
    <t>Division Juridica</t>
  </si>
  <si>
    <t>David Marte Barrera</t>
  </si>
  <si>
    <t>Luis Rafael Leroux Veras</t>
  </si>
  <si>
    <t>Luis Manuel Moran Carela</t>
  </si>
  <si>
    <t>Cristobal Perez Ortega</t>
  </si>
  <si>
    <t>Asistente</t>
  </si>
  <si>
    <t>Adalgisa Mora Pujols</t>
  </si>
  <si>
    <t>Secretaria</t>
  </si>
  <si>
    <t>Seccion de Almacen y Suministro</t>
  </si>
  <si>
    <t>Adalgisa Mota</t>
  </si>
  <si>
    <t>Vigilante</t>
  </si>
  <si>
    <t>Seccion de Seguridad</t>
  </si>
  <si>
    <t>Adda Marizol Montero Encarnacion</t>
  </si>
  <si>
    <t>Asistente de Enfermeria</t>
  </si>
  <si>
    <t>Division Medica</t>
  </si>
  <si>
    <t>Agustin De Jesus Perez Martinez</t>
  </si>
  <si>
    <t>Obrero de Produccion y Distribucion de Plantas</t>
  </si>
  <si>
    <t>Division de Produccion y Distribucion de Plantas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</si>
  <si>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</si>
  <si>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</si>
  <si>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</si>
  <si>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</si>
  <si>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</si>
  <si>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</si>
  <si>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</si>
  <si>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</si>
  <si>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</si>
  <si>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Auxiliar Administrativo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</si>
  <si>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</si>
  <si>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</si>
  <si>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</si>
  <si>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</si>
  <si>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</si>
  <si>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</si>
  <si>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 Antonio Hilton Castillo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</si>
  <si>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</si>
  <si>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</si>
  <si>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</si>
  <si>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</si>
  <si>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</si>
  <si>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</si>
  <si>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Aleida Altagracia Guillermo</t>
  </si>
  <si>
    <t>Aleidy Gil Peralta</t>
  </si>
  <si>
    <t>Alejandra Matarranz Valdez</t>
  </si>
  <si>
    <t>Alejandrina Alburquerque Felix</t>
  </si>
  <si>
    <t>Departamento de Recursos Humanos</t>
  </si>
  <si>
    <t>Alejandrina Sala</t>
  </si>
  <si>
    <t>Obrero</t>
  </si>
  <si>
    <t>Alejandro Duque Batista</t>
  </si>
  <si>
    <t>Alejandro Moreno Gonzalez</t>
  </si>
  <si>
    <t>Alejandro Perez</t>
  </si>
  <si>
    <t>Encargado de la Division de Produccion y Distr. De Plantas</t>
  </si>
  <si>
    <t>Alexander Oscar Lopez Milander</t>
  </si>
  <si>
    <t>Medico</t>
  </si>
  <si>
    <t>Alexis Caonabo Vasquez</t>
  </si>
  <si>
    <t>Auxiliar Almacen y Suministro</t>
  </si>
  <si>
    <t>Alexis Fernando Rivas Mendez</t>
  </si>
  <si>
    <t>Seccion de Transportacion</t>
  </si>
  <si>
    <t>Alexis Rafael Rosa Luna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</si>
  <si>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</si>
  <si>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</si>
  <si>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</si>
  <si>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</si>
  <si>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</si>
  <si>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Alvaro Jesus Ramon Muñoz</t>
  </si>
  <si>
    <t>Amairany Feliz Reyes</t>
  </si>
  <si>
    <t>Amauri Luciano Salcedo Vargas</t>
  </si>
  <si>
    <t>Ambal Ramirez Linares</t>
  </si>
  <si>
    <t>Ana Celia Alexis Jimenez</t>
  </si>
  <si>
    <t>Ana Josefa Taveras Acosta</t>
  </si>
  <si>
    <t>Ana Mercedes Yorro Geronimo</t>
  </si>
  <si>
    <t>Ana Rosa Payans</t>
  </si>
  <si>
    <t>Ana Rosa Santana Brito</t>
  </si>
  <si>
    <t>Anabel Terrero Zapata</t>
  </si>
  <si>
    <t>Andersson Jose Diaz Diaz</t>
  </si>
  <si>
    <t>Andres Martinez Almonte</t>
  </si>
  <si>
    <t>Angel Eduardo Perez Fabre</t>
  </si>
  <si>
    <t>Angel Francisco Morel Hernandez</t>
  </si>
  <si>
    <t>Angela Altagracia Ramirez Liriano</t>
  </si>
  <si>
    <t>Anneuri Kisauri Gil Mejia</t>
  </si>
  <si>
    <t>Anthony Valerio Mercedes Eduardo</t>
  </si>
  <si>
    <t>Oficina Provincial La Romana</t>
  </si>
  <si>
    <t>Antonio Genaro Torres Lopez</t>
  </si>
  <si>
    <t>Antonio Salvador Beriguete</t>
  </si>
  <si>
    <t>Antonio Sanchez Vicente</t>
  </si>
  <si>
    <t>Any Montero Ferreras</t>
  </si>
  <si>
    <t>Apolinar Mendoza</t>
  </si>
  <si>
    <t>Aquino Amancio Del Rosario</t>
  </si>
  <si>
    <t>Arelina De La Rosa Montero</t>
  </si>
  <si>
    <t>Argelia Marmolejos Nuñez</t>
  </si>
  <si>
    <t>Argentina Sanchez Encarnacion</t>
  </si>
  <si>
    <t>Supervisora de Mantenimiento</t>
  </si>
  <si>
    <t>Armides Jose Nuñez Cruz</t>
  </si>
  <si>
    <t>Ashley Loribel Arias Muller</t>
  </si>
  <si>
    <t>Division de Tecnologia de la Informacion y C.</t>
  </si>
  <si>
    <t>Azul Selimar Rodriguez Zapata</t>
  </si>
  <si>
    <t>Banjamin Santana Peña</t>
  </si>
  <si>
    <t>Obrero de produccion y Distribucion de Plantas</t>
  </si>
  <si>
    <t>Basilia Moreno Santana</t>
  </si>
  <si>
    <t>Basilio Rodriguez Marte</t>
  </si>
  <si>
    <t>Belkis Josefa Batista Rodriguez</t>
  </si>
  <si>
    <t>Belkis Ramirez De La Cruz</t>
  </si>
  <si>
    <t>Mensajera Interna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</si>
  <si>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</si>
  <si>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</si>
  <si>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</si>
  <si>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</si>
  <si>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</si>
  <si>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</si>
  <si>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Besaida Jacqueline Mateo Perez</t>
  </si>
  <si>
    <t>Odontologo</t>
  </si>
  <si>
    <t>Biagney Bautista Bautista</t>
  </si>
  <si>
    <t>Blas Amparo</t>
  </si>
  <si>
    <t>Supervisor de Areas Verdes</t>
  </si>
  <si>
    <t>Braulio Antonio De Jesus Nuñez</t>
  </si>
  <si>
    <t>Braulio Perez Gonzalez</t>
  </si>
  <si>
    <t>Ayudante de Mecanica</t>
  </si>
  <si>
    <t>Braulio Rafael Lopez</t>
  </si>
  <si>
    <t>Departamento Regional Sur</t>
  </si>
  <si>
    <t>Brenly Joel Patricio Reyes</t>
  </si>
  <si>
    <t>Brunilda Altagracia Guerrero Castillo</t>
  </si>
  <si>
    <t>Bryan Anibal Jacobo Liriano</t>
  </si>
  <si>
    <t>Camilo Antonio Rodriguez Gonzalez</t>
  </si>
  <si>
    <t>Camilo Max Rose De La Rosa</t>
  </si>
  <si>
    <t>Candido Amparo Rincon Pimentel</t>
  </si>
  <si>
    <t>Carlista Del Carmen Arnaud Arnaud</t>
  </si>
  <si>
    <t>Carlos Alberto Jimenez Maria</t>
  </si>
  <si>
    <t>Carlos Daniel Javier Tapia</t>
  </si>
  <si>
    <t>Carlos De La Cruz Hernandez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</si>
  <si>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</si>
  <si>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</si>
  <si>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</si>
  <si>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</si>
  <si>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</si>
  <si>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Carmen Yajayra Morel Brazoban</t>
  </si>
  <si>
    <t>Carolin Rodriguez Alejo</t>
  </si>
  <si>
    <t>Carolina Linares</t>
  </si>
  <si>
    <t>Catalina Moris</t>
  </si>
  <si>
    <t>Cayetano Antonio Perez</t>
  </si>
  <si>
    <t>Cayetano Aracena</t>
  </si>
  <si>
    <t>Cecilio Antonio Polanco Rodriguez</t>
  </si>
  <si>
    <t>Cecilio Bautista</t>
  </si>
  <si>
    <t>Cecilio Medina</t>
  </si>
  <si>
    <t>Ceferino Canturiano Mendoza</t>
  </si>
  <si>
    <t>Celia Rosa Ramos Miranda</t>
  </si>
  <si>
    <t>Cesar Alberto Santo Dume</t>
  </si>
  <si>
    <t>Cesar Rosario Sabino</t>
  </si>
  <si>
    <t>Charisleydi Reyes Sena</t>
  </si>
  <si>
    <t>Cibelis Peña</t>
  </si>
  <si>
    <t>Supervisora de Mayordomia</t>
  </si>
  <si>
    <t>Claribel Ramirez Pinales</t>
  </si>
  <si>
    <t>Claribel Reyes</t>
  </si>
  <si>
    <t>Claudio De Jesus Marrero Valerio</t>
  </si>
  <si>
    <t>Claudio Rafael Diaz Liberato</t>
  </si>
  <si>
    <t>Clemente Omar Marte Abreu</t>
  </si>
  <si>
    <t>Ayudante de Mantenimiento</t>
  </si>
  <si>
    <t>Corazon Jimenez Severino</t>
  </si>
  <si>
    <t>Crisant Katy Sanchez Jimenez</t>
  </si>
  <si>
    <t>Cristal Delainne Montero Alburquerque</t>
  </si>
  <si>
    <t>Cristal Yovi Lugo Lorenzo</t>
  </si>
  <si>
    <t>Cristino Diaz Rosa</t>
  </si>
  <si>
    <t>Cruz Aquino</t>
  </si>
  <si>
    <t>Dahiana Raquel Lima Bonilla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</si>
  <si>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</si>
  <si>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</si>
  <si>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</si>
  <si>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</si>
  <si>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</si>
  <si>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</si>
  <si>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Gomez Rodriguez</t>
  </si>
  <si>
    <t>Daniela Lara Beltre</t>
  </si>
  <si>
    <t>Darlyn Montero Jimenez</t>
  </si>
  <si>
    <t>Darwin Ernesto De Jesus Morales</t>
  </si>
  <si>
    <t>David Ozuna Berroa</t>
  </si>
  <si>
    <t>Delvin Aquiles Olaverria Bautista</t>
  </si>
  <si>
    <t>Supervisor de Seguridad</t>
  </si>
  <si>
    <t>Deyanira Payano Baez</t>
  </si>
  <si>
    <t>Diosmery Dalla Monegro</t>
  </si>
  <si>
    <t>Dominga Cabrera Matos</t>
  </si>
  <si>
    <t>Dominga Mosquea Alvares</t>
  </si>
  <si>
    <t>Domingo Alberto Serrano Feliz</t>
  </si>
  <si>
    <t>Domingo Arturo Diaz Hernandez</t>
  </si>
  <si>
    <t>Domingo German Chester Jimenez</t>
  </si>
  <si>
    <t>Dorka Maria Javier Concepcion</t>
  </si>
  <si>
    <t>Eddy Anibal Henriquez Feliz</t>
  </si>
  <si>
    <t>Eduardo Perez Santelis</t>
  </si>
  <si>
    <t>Fotografo</t>
  </si>
  <si>
    <t>Eduardo Vilorio</t>
  </si>
  <si>
    <t>Edwin Francisco Ortiz Peguero</t>
  </si>
  <si>
    <t>Eleuterio Rosario Santana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</si>
  <si>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</si>
  <si>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</si>
  <si>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</si>
  <si>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</si>
  <si>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</si>
  <si>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</si>
  <si>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Elizabeth Rosario Amezquita</t>
  </si>
  <si>
    <t>Elkis Scarlet Gomez Marte</t>
  </si>
  <si>
    <t>Elupino Liria De Jesus</t>
  </si>
  <si>
    <t>Elvin Puello</t>
  </si>
  <si>
    <t>Emanuel Balbuena Ogando</t>
  </si>
  <si>
    <t>Emilio Jose Manzanillo Segura</t>
  </si>
  <si>
    <t>Supervisor de Mayordomia</t>
  </si>
  <si>
    <t>Enemencio Tavarez Cabrera</t>
  </si>
  <si>
    <t>Enfrelina Perez Garcia</t>
  </si>
  <si>
    <t>Enrique Antonio Peña Peralta</t>
  </si>
  <si>
    <t>Epifania Medrano Lorenzo</t>
  </si>
  <si>
    <t>Epifanio Eloven Zapata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</si>
  <si>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</si>
  <si>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</si>
  <si>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</si>
  <si>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</si>
  <si>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</si>
  <si>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</si>
  <si>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</si>
  <si>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</si>
  <si>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</si>
  <si>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Evelices Altagracia Diaz Camacho</t>
  </si>
  <si>
    <t>Evelin Altagracia Diaz Marmolejos</t>
  </si>
  <si>
    <t>Fausto De Jesus Nepomuceno</t>
  </si>
  <si>
    <t>Felipe Antonio Perez Ozuna</t>
  </si>
  <si>
    <t>Felix Manuel Herrera Zapata</t>
  </si>
  <si>
    <t>Felix Mercedes Sirena Peguero</t>
  </si>
  <si>
    <t>Seguridad</t>
  </si>
  <si>
    <t>Felix Ramon Mercado</t>
  </si>
  <si>
    <t>Fenelix Yunior Crespo Garcia</t>
  </si>
  <si>
    <t>Fernando Silvia</t>
  </si>
  <si>
    <t>Fiordaliza Minaya Rodriguez</t>
  </si>
  <si>
    <t>Fonso Rosario</t>
  </si>
  <si>
    <t>Francis Antonio Vasquez Polanco</t>
  </si>
  <si>
    <t>Francisco Antonio Caraballo Salas</t>
  </si>
  <si>
    <t>Francisco Castillo Arias</t>
  </si>
  <si>
    <t>Francisco Hernandez</t>
  </si>
  <si>
    <t>Francisco Lopez Seballos</t>
  </si>
  <si>
    <t>Francisco Nepomuceno Nepomuceno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</si>
  <si>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</si>
  <si>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</si>
  <si>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</si>
  <si>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</si>
  <si>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</si>
  <si>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</si>
  <si>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Genesis Avalo Muñoz</t>
  </si>
  <si>
    <t>Supervisor</t>
  </si>
  <si>
    <t>Genesis Johandri Martinez Santana</t>
  </si>
  <si>
    <t>Genesis Yuleika Quezada Ramirez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</si>
  <si>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</si>
  <si>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</si>
  <si>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</si>
  <si>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</si>
  <si>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</si>
  <si>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</si>
  <si>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</si>
  <si>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</si>
  <si>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Nepomuceno</t>
  </si>
  <si>
    <t>Gilberto Augusto Feliz Matos</t>
  </si>
  <si>
    <t>Gleny Elizabeth Francois</t>
  </si>
  <si>
    <t>Glenys Altagracia Liverato Moreaux</t>
  </si>
  <si>
    <t>Gomercinda Bautista Cortorreal</t>
  </si>
  <si>
    <t>Recepcionista</t>
  </si>
  <si>
    <t>Gonzalez Montes De Oca Bautista</t>
  </si>
  <si>
    <t>Gregorio Antonio Gonzalez</t>
  </si>
  <si>
    <t>Tramite de Pension-FIJO</t>
  </si>
  <si>
    <t>Griselda Fajardo Martinez</t>
  </si>
  <si>
    <t>Guarionex Inoa Duarte</t>
  </si>
  <si>
    <t>Hanoki Paredes Matias</t>
  </si>
  <si>
    <t>Hawar Nerva Suarez Rodriguez</t>
  </si>
  <si>
    <t>Hector Dicent Navarro</t>
  </si>
  <si>
    <t>Hector Rafael Soriano</t>
  </si>
  <si>
    <t>Hector Segura Cristo</t>
  </si>
  <si>
    <t>Henry Ezequiel Diaz Lalondriz</t>
  </si>
  <si>
    <t>Henry Rosario Rosario</t>
  </si>
  <si>
    <t>Hipolito Rosario Cepeda</t>
  </si>
  <si>
    <t>Hugo Ernesto Cuevas Vasquez</t>
  </si>
  <si>
    <t>Humberto Tejada</t>
  </si>
  <si>
    <t>Isabelo Lopez</t>
  </si>
  <si>
    <t>Isidro Aquino Suero</t>
  </si>
  <si>
    <t>Isidro Castillo Silverio</t>
  </si>
  <si>
    <t>Isidro Narciso Robles</t>
  </si>
  <si>
    <t>Ivelisse Mercedes Doñes</t>
  </si>
  <si>
    <t>Jacksenia Shenill Familia Cruz</t>
  </si>
  <si>
    <t>Jacqueline Santana Santana</t>
  </si>
  <si>
    <t>Supervisora</t>
  </si>
  <si>
    <t>Jafeb Martinez</t>
  </si>
  <si>
    <t>Javier Figuereo Cabrera</t>
  </si>
  <si>
    <t>Jeffry Jordan Vasquez</t>
  </si>
  <si>
    <t>Jem Laury Ventura Antonio</t>
  </si>
  <si>
    <t>Jenny Sirena Mosquea</t>
  </si>
  <si>
    <t>Jenny Solano Reyes</t>
  </si>
  <si>
    <t>Jeris Martinez De La Rosa</t>
  </si>
  <si>
    <t>Jesus Acosta Garcia</t>
  </si>
  <si>
    <t>Soporte Tecnico Informatico</t>
  </si>
  <si>
    <t>Jesus Gomez Perez</t>
  </si>
  <si>
    <t>Jesus Laucet Espiritu</t>
  </si>
  <si>
    <t>Jesus Ramirez Santo</t>
  </si>
  <si>
    <t>Division de Embellecimiento de las Areas Verdes, C. y A.</t>
  </si>
  <si>
    <t>Jeuri De La Cruz</t>
  </si>
  <si>
    <t>Jeury Javier</t>
  </si>
  <si>
    <t>Jhairol Manuel Garcia Alcantara</t>
  </si>
  <si>
    <t>Jhoce Rafael Jimenez Almonte</t>
  </si>
  <si>
    <t>Jhonatan Alexander Millord Ferreras</t>
  </si>
  <si>
    <t>Jhonatan De Mota Brea</t>
  </si>
  <si>
    <t>Jhonny Manuel Casado Cordero</t>
  </si>
  <si>
    <t>Joaquin Del Rosario Cabrera</t>
  </si>
  <si>
    <t>Joaquina Antonia Soto</t>
  </si>
  <si>
    <t>Johanna Clarissa Jimenez Peña</t>
  </si>
  <si>
    <t>Johanna Rosaly Polanco Peña</t>
  </si>
  <si>
    <t>Johanny Elizabeth Moreta Franco</t>
  </si>
  <si>
    <t>Departamento de Planificacion y Desarrollo</t>
  </si>
  <si>
    <t>Johanny Pimentel Rosario</t>
  </si>
  <si>
    <t>Jomailly Elena De Leon Guerrero</t>
  </si>
  <si>
    <t>Jorge Andres Rivera Contreras</t>
  </si>
  <si>
    <t>Jorge Gabriel Castillo Martinez</t>
  </si>
  <si>
    <t>Jorge Luis Aquino Florian</t>
  </si>
  <si>
    <t>Jorge Luis Coplin</t>
  </si>
  <si>
    <t>Obrero (a)</t>
  </si>
  <si>
    <t>Jorge Luis Hernandez Luis</t>
  </si>
  <si>
    <t>Jorge Luis Sala Reyes</t>
  </si>
  <si>
    <t>Jose Alberto Heredia Nepomuceno</t>
  </si>
  <si>
    <t>Jose Alberto Hilario</t>
  </si>
  <si>
    <t>Jose Altagracia Abreu</t>
  </si>
  <si>
    <t>Jose Altagracia Leon Guerrero</t>
  </si>
  <si>
    <t>Jose Altagracia Perez Lopez</t>
  </si>
  <si>
    <t>Jose Antonio Acosta Sanchez</t>
  </si>
  <si>
    <t>Jose Antonio Dominguez Placencia</t>
  </si>
  <si>
    <t>Jardinero</t>
  </si>
  <si>
    <t>Jose Antonio Suero Montero</t>
  </si>
  <si>
    <t>Jose Cirilo Marmolejos Marmolejos</t>
  </si>
  <si>
    <t>Jose De Jesus Manibo</t>
  </si>
  <si>
    <t>Jose De La Cruz Alejo</t>
  </si>
  <si>
    <t>Jose De Leon Sanchez</t>
  </si>
  <si>
    <t>Jose Del Amparo Sena Ramirez</t>
  </si>
  <si>
    <t>Jose Enmanuel Nuñez Marte</t>
  </si>
  <si>
    <t>Jose Guarin Zarzuela Dioleo</t>
  </si>
  <si>
    <t>Jose Israel Perez</t>
  </si>
  <si>
    <t>Analista Legal</t>
  </si>
  <si>
    <t>Jose Joaquin Disla</t>
  </si>
  <si>
    <t>Jose Lide Mercedes Florentino</t>
  </si>
  <si>
    <t>Jose Luis Frias Frias</t>
  </si>
  <si>
    <t>Jose Luis Guzman Guance</t>
  </si>
  <si>
    <t>Jose Luis Martinez Montero</t>
  </si>
  <si>
    <t>Jose Manuel Del Rosario</t>
  </si>
  <si>
    <t>Jose Manuel Matos Valdez</t>
  </si>
  <si>
    <t>Jose Manuel Roa</t>
  </si>
  <si>
    <t>Jose Manuel Rosario Mariñez</t>
  </si>
  <si>
    <t>Jose Miguel Garcia Cruz</t>
  </si>
  <si>
    <t>Jose Miguel Guerrero</t>
  </si>
  <si>
    <t>Jose Osiris Toribio Alberto</t>
  </si>
  <si>
    <t>Jose Rafael Medina Reynoso</t>
  </si>
  <si>
    <t>Jose Ramiro Disla Almonte</t>
  </si>
  <si>
    <t>Jose Ramon Martinez Nuñez</t>
  </si>
  <si>
    <t>Jose Rolando Ureña</t>
  </si>
  <si>
    <t>Jose Tomas Garcia Clase</t>
  </si>
  <si>
    <t>Josefa Ruiz</t>
  </si>
  <si>
    <t>Josue Orlando Rivas Pereyra</t>
  </si>
  <si>
    <t>Juan Alberto Morillo Acevedo</t>
  </si>
  <si>
    <t>Juan Alvaro Gonzalez Liriano</t>
  </si>
  <si>
    <t>Supervisor General</t>
  </si>
  <si>
    <t>Juan Antonio Evangelista Luna</t>
  </si>
  <si>
    <t>Juan Bautista Salas Alcantara</t>
  </si>
  <si>
    <t>Juan Carlos Alcantara Viscaino</t>
  </si>
  <si>
    <t>Juan Francisco Nepomuceno Hernandez</t>
  </si>
  <si>
    <t>Juan Gabriel Martinez Reyes</t>
  </si>
  <si>
    <t>Juan Manuel Nuñez</t>
  </si>
  <si>
    <t>Juan Odonel Sepulveda Garcia</t>
  </si>
  <si>
    <t>Juan Pablo More Maria</t>
  </si>
  <si>
    <t>Juan Ramon De La Rosa De Los Santos</t>
  </si>
  <si>
    <t>Juan Samuel Madrigal</t>
  </si>
  <si>
    <t>Juana Guillen De La Rosa</t>
  </si>
  <si>
    <t>Juana Lantigua</t>
  </si>
  <si>
    <t>Julia Suleica Montero Mateo</t>
  </si>
  <si>
    <t>Julian Diaz Montero</t>
  </si>
  <si>
    <t>Julian Polanco Joaquin</t>
  </si>
  <si>
    <t>Juliana Hernandez Perez</t>
  </si>
  <si>
    <t>Julio Alexis Montero</t>
  </si>
  <si>
    <t>Julio Cesar Alvarez Angulo</t>
  </si>
  <si>
    <t>Julio Cesar Encarnacion Chale</t>
  </si>
  <si>
    <t>Julio Chalas Lara</t>
  </si>
  <si>
    <t>Julio Nelson Lopez Gomez</t>
  </si>
  <si>
    <t>Julio Nepomuceno Amparo</t>
  </si>
  <si>
    <t>Julio Tejeda</t>
  </si>
  <si>
    <t>Junior Alcantara Guerrero</t>
  </si>
  <si>
    <t>Junior Eliezer De La Cruz</t>
  </si>
  <si>
    <t>Justo Manuel Feliz Gonzalez</t>
  </si>
  <si>
    <t>Katherine Arias Gomez</t>
  </si>
  <si>
    <t>Keissy Elizabeth Garcia Rodriguez</t>
  </si>
  <si>
    <t>Kelvin Antonio Guzman Acosta</t>
  </si>
  <si>
    <t>Kendy Terrero</t>
  </si>
  <si>
    <t>Departamento Tecnico Operativo AV</t>
  </si>
  <si>
    <t>Kenny Mirella Mateo Silvestre</t>
  </si>
  <si>
    <t>Kirsis Giordani Maria Rodriguez</t>
  </si>
  <si>
    <t>Lariza Isabel Alvarez Jimenez</t>
  </si>
  <si>
    <t>Laura Maria Ovalles Diaz</t>
  </si>
  <si>
    <t>Layde Sugilio De La Rosa</t>
  </si>
  <si>
    <t>Leandro Esteban De La Rosa Aponte</t>
  </si>
  <si>
    <t>Leandro Modesto Arias Puente</t>
  </si>
  <si>
    <t>Ledi Moraima De Leon Aquino</t>
  </si>
  <si>
    <t>Leonarda Reyes Lorenzo</t>
  </si>
  <si>
    <t>Leonardo Caminero Vargas</t>
  </si>
  <si>
    <t>Leonel Rincon Castro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</si>
  <si>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</si>
  <si>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</si>
  <si>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</si>
  <si>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</si>
  <si>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</si>
  <si>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</si>
  <si>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Loris Nicoll Castillo Rosario</t>
  </si>
  <si>
    <t>Luciano Felix Martinez Hilario</t>
  </si>
  <si>
    <t>Lucrecia Ferreras Rivas</t>
  </si>
  <si>
    <t>Lucrecia Sanchez</t>
  </si>
  <si>
    <t>Luis Alberto Sanchez Sanchez</t>
  </si>
  <si>
    <t>Luis Antonio Mateo Martinez</t>
  </si>
  <si>
    <t>Luis Arquimedes Del Villar Mendez</t>
  </si>
  <si>
    <t>Luis Ernesto Encarnacion</t>
  </si>
  <si>
    <t>Luis Felipe Nuñez Gaston</t>
  </si>
  <si>
    <t>Luis Fermin Viñas Frias</t>
  </si>
  <si>
    <t>Division de Registro, Control y Nomina</t>
  </si>
  <si>
    <t>Luis Manuel Ciprian Caraballo</t>
  </si>
  <si>
    <t>Luis Manuel Genao Flores</t>
  </si>
  <si>
    <t>Luis Marino Martinez Ceballos</t>
  </si>
  <si>
    <t>Luis Sterlin Mejia</t>
  </si>
  <si>
    <t>Madelin Corcino</t>
  </si>
  <si>
    <t>Madresita Jimenez Rosario</t>
  </si>
  <si>
    <t>Mailin Matos Mancebo</t>
  </si>
  <si>
    <t>Manuel Antonio Batista</t>
  </si>
  <si>
    <t>Manuel Berroa</t>
  </si>
  <si>
    <t>Departamento Regional Este</t>
  </si>
  <si>
    <t>Manuel Evangelista Pena Pinales</t>
  </si>
  <si>
    <t>Manuel Luna Silverio</t>
  </si>
  <si>
    <t>Manuel Marcelino Villanueva Galan</t>
  </si>
  <si>
    <t>Manuel Maria Ortiz</t>
  </si>
  <si>
    <t>Manuela Cuevas Rodriguez</t>
  </si>
  <si>
    <t>Manuela Hernandez Medina</t>
  </si>
  <si>
    <t>Marcelino Antonio Mendoza Cruz</t>
  </si>
  <si>
    <t>Marcelino Ortiz Rivera</t>
  </si>
  <si>
    <t>Margarita Clara De Los Santos Batista</t>
  </si>
  <si>
    <t>Sección Medica</t>
  </si>
  <si>
    <t>Margarita De La Cruz De Los Santos</t>
  </si>
  <si>
    <t>Maria Albertina Tiburcio</t>
  </si>
  <si>
    <t>Maria Antonia Rosario Torres</t>
  </si>
  <si>
    <t>Maria De Los Angeles Capellan Rosado</t>
  </si>
  <si>
    <t>Maria Estefany Feliz Cuevas</t>
  </si>
  <si>
    <t>Maria Isabel De La Rosa Tejada</t>
  </si>
  <si>
    <t>Maria Jesus Corcino Santana</t>
  </si>
  <si>
    <t>Maria Luz Castillo Guzman De Guzman</t>
  </si>
  <si>
    <t>Maria Ramona Sanchez Rodriguez</t>
  </si>
  <si>
    <t>Maria Virgen Jhonson King</t>
  </si>
  <si>
    <t>Marianny Altagracia Sanchez Diaz</t>
  </si>
  <si>
    <t>Maridalia Hernandez Martinez</t>
  </si>
  <si>
    <t>Mariela Alcantara Andujar</t>
  </si>
  <si>
    <t>Marilanda Adames Suero</t>
  </si>
  <si>
    <t>Camarera</t>
  </si>
  <si>
    <t>Marilin Gonzalez Diaz</t>
  </si>
  <si>
    <t>Marina Garcia Santana</t>
  </si>
  <si>
    <t>Martha Montero Mendez</t>
  </si>
  <si>
    <t>Martin Sanchez</t>
  </si>
  <si>
    <t>Martires De Los Santos Telleria</t>
  </si>
  <si>
    <t>Mary Leidis Reyes De La Cruz</t>
  </si>
  <si>
    <t>Maura Catalina Carela Sanchez</t>
  </si>
  <si>
    <t>Maximo Alberdi Rubio Castillo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</si>
  <si>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</si>
  <si>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</si>
  <si>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</si>
  <si>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</si>
  <si>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</si>
  <si>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Melvin Angelico Hernandez Taveras</t>
  </si>
  <si>
    <t>Mercedes Bienvenida Jacobo Silva</t>
  </si>
  <si>
    <t>Mercedes Hernandez De La Cruz</t>
  </si>
  <si>
    <t>Michael Zapata Castillo</t>
  </si>
  <si>
    <t>Miguel Alcangel Espejo Brito</t>
  </si>
  <si>
    <t>Miguel Angel Araujo Volquez</t>
  </si>
  <si>
    <t>Miguel Angel Diaz Rodriguez</t>
  </si>
  <si>
    <t>Miguel Angel Rondon De Los Santos</t>
  </si>
  <si>
    <t>Miguel Antonio Lapaix</t>
  </si>
  <si>
    <t>Miguel De Los Santos De Los Santos</t>
  </si>
  <si>
    <t>Albañil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</si>
  <si>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</si>
  <si>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</si>
  <si>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</si>
  <si>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</si>
  <si>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</si>
  <si>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</si>
  <si>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</si>
  <si>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</si>
  <si>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</si>
  <si>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</si>
  <si>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</si>
  <si>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</si>
  <si>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Naelis Altagracia Santana Contreras</t>
  </si>
  <si>
    <t>Nathalia Languasco Encarnacion</t>
  </si>
  <si>
    <t>Nelson Acevedo De Jesus</t>
  </si>
  <si>
    <t>Chofer I</t>
  </si>
  <si>
    <t>Nelson Andres Fernandez Morel</t>
  </si>
  <si>
    <t>Lavador de Vehiculos</t>
  </si>
  <si>
    <t>Nercy Julieta Terrero Echavarria</t>
  </si>
  <si>
    <t>Neroliza Guzman Sanchez</t>
  </si>
  <si>
    <t>Nicari Esther Betances Sanchez</t>
  </si>
  <si>
    <t>Nicolas Peña Garcia</t>
  </si>
  <si>
    <t>Nikauris Saiuris Reyes Araujo</t>
  </si>
  <si>
    <t>Noemi Feliz</t>
  </si>
  <si>
    <t>Orlando Santana</t>
  </si>
  <si>
    <t>Pablo Salas</t>
  </si>
  <si>
    <t>Pablo Sugilio Evangelista</t>
  </si>
  <si>
    <t>Paloma Paulino Vasquez</t>
  </si>
  <si>
    <t>Pamela Diana Rodriguez Garcia</t>
  </si>
  <si>
    <t>Secretaria Ejecutiva</t>
  </si>
  <si>
    <t>Pascual Lorenzo Luciano</t>
  </si>
  <si>
    <t>Ebanista</t>
  </si>
  <si>
    <t>Pascual Rodriguez Cuevas</t>
  </si>
  <si>
    <t>Pascual Ventura Alvarez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</si>
  <si>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</si>
  <si>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</si>
  <si>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</si>
  <si>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</si>
  <si>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</si>
  <si>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Berroa Rosario</t>
  </si>
  <si>
    <t>Pedro De Los Santos</t>
  </si>
  <si>
    <t>Pedro Evangelista Calzado</t>
  </si>
  <si>
    <t>Pedro Gonzalez Espiritu</t>
  </si>
  <si>
    <t>Pedro Jose Reyes Gutierrez</t>
  </si>
  <si>
    <t>Pedro Jose Sosa Bautista</t>
  </si>
  <si>
    <t>Pedro Luis Alcantara Suero</t>
  </si>
  <si>
    <t>Pedro Manuel Rodriguez</t>
  </si>
  <si>
    <t>Pedro Omar Borque</t>
  </si>
  <si>
    <t>Pedro Pablo Polanco Solano</t>
  </si>
  <si>
    <t>Pedro Pascual Candelario</t>
  </si>
  <si>
    <t>Pedro Rodriguez Marte</t>
  </si>
  <si>
    <t>Asesor en el area de presupuesto</t>
  </si>
  <si>
    <t>Division de Presupuesto</t>
  </si>
  <si>
    <t>Pedro Sena Mendez</t>
  </si>
  <si>
    <t>Pedro Uben</t>
  </si>
  <si>
    <t>Pedro Yuriel Ortiz Fernandez</t>
  </si>
  <si>
    <t>Perla Justina Fernandez Cruz</t>
  </si>
  <si>
    <t>Perla Masiel Nuñez Minyety</t>
  </si>
  <si>
    <t>Petronila Arias Ferreras</t>
  </si>
  <si>
    <t>Prebistilio Herrera</t>
  </si>
  <si>
    <t>Profeny Charlot Lean</t>
  </si>
  <si>
    <t>Publio Alberto De La Paz Lora</t>
  </si>
  <si>
    <t>Quenia Lugo Mateo</t>
  </si>
  <si>
    <t>Quirsy Yomairy Matos Heredia</t>
  </si>
  <si>
    <t>Rabel Rosario Lopez</t>
  </si>
  <si>
    <t>Radhames Hiraldo Pichardo</t>
  </si>
  <si>
    <t>Rafael Antonio Perez Rodriguez</t>
  </si>
  <si>
    <t>Rafael Antonio Regalado</t>
  </si>
  <si>
    <t>Rafael Cornelio Matos Brito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</si>
  <si>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</si>
  <si>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</si>
  <si>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</si>
  <si>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</si>
  <si>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</si>
  <si>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</si>
  <si>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</si>
  <si>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</si>
  <si>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</si>
  <si>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</si>
  <si>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</si>
  <si>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</si>
  <si>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</si>
  <si>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</si>
  <si>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</si>
  <si>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Alberto Agustin Ortega</t>
  </si>
  <si>
    <t>Ramon Antonio Jesus Rodriguez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</si>
  <si>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</si>
  <si>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</si>
  <si>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</si>
  <si>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</si>
  <si>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</si>
  <si>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</si>
  <si>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Peralta</t>
  </si>
  <si>
    <t>Ramon Severino Livari Rodriguez</t>
  </si>
  <si>
    <t>Ramon Vicente Vargas</t>
  </si>
  <si>
    <t>Ramona Rodriguez Rosario</t>
  </si>
  <si>
    <t>Ramona Santana Degollado</t>
  </si>
  <si>
    <t>Ramy De Jesus Encarnacion</t>
  </si>
  <si>
    <t>Ranyi Mabel Jimenez Cruz</t>
  </si>
  <si>
    <t>Rebeca Emeterio Franco</t>
  </si>
  <si>
    <t>Reyna Portes Sanches</t>
  </si>
  <si>
    <t>Reyna Ramirez Ramirez</t>
  </si>
  <si>
    <t>Reynaldo Antonio Pol Garcia</t>
  </si>
  <si>
    <t>Reynardo Eusebio Soriano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</si>
  <si>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</si>
  <si>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</si>
  <si>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</si>
  <si>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</si>
  <si>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</si>
  <si>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</si>
  <si>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Roberto Antonio Santos</t>
  </si>
  <si>
    <t>Roberto De La Rosa Vallejo</t>
  </si>
  <si>
    <t>Roberto Feliz Garcia</t>
  </si>
  <si>
    <t>Roberto Nepomuceno</t>
  </si>
  <si>
    <t>Robinson Rubio Martinez</t>
  </si>
  <si>
    <t>Roddy Ester Batista Montero</t>
  </si>
  <si>
    <t>Rodolfo Casanova</t>
  </si>
  <si>
    <t>Rolando Isidro Rosario Rodriguez</t>
  </si>
  <si>
    <t>Analista de presupuesto</t>
  </si>
  <si>
    <t>Romelio Ventura</t>
  </si>
  <si>
    <t>Ronny Ovalles De La Cruz</t>
  </si>
  <si>
    <t>Ronny Samuel Lantigua Feliz</t>
  </si>
  <si>
    <t>Rosa Alejandra Baez Alcantara</t>
  </si>
  <si>
    <t>Rosa Massiel Cabrera</t>
  </si>
  <si>
    <t>Rosa Ortega Rosario</t>
  </si>
  <si>
    <t>Rosalba Martinez Liria</t>
  </si>
  <si>
    <t>Rosalba Polanco Lorenzo</t>
  </si>
  <si>
    <t>Rosangel Mercedes Peña Soriano</t>
  </si>
  <si>
    <t>Rosario Castillo Acevedo</t>
  </si>
  <si>
    <t>Analista de Presupuesto I</t>
  </si>
  <si>
    <t>Rosaura Garcia Severino</t>
  </si>
  <si>
    <t>Roselina Maria Peguero Pimentel</t>
  </si>
  <si>
    <t>Obrera</t>
  </si>
  <si>
    <t>Roselio Guzman Guzman</t>
  </si>
  <si>
    <t>Rosendo Reyes</t>
  </si>
  <si>
    <t>Rosnely Urbaez Mella</t>
  </si>
  <si>
    <t>Rosy Leidy Henriquez Duran</t>
  </si>
  <si>
    <t>Ruben Alberto Rosario</t>
  </si>
  <si>
    <t>Ruben Dario De Jesus Familia</t>
  </si>
  <si>
    <t>Ruben Dario Guzman Medrano</t>
  </si>
  <si>
    <t>Ruben Prensa</t>
  </si>
  <si>
    <t>Rudys Montero Salvador</t>
  </si>
  <si>
    <t>Sally Mirabal Bocio</t>
  </si>
  <si>
    <t>Salustiano Fajardo Moreno</t>
  </si>
  <si>
    <t>Samuel Luciano Lopez</t>
  </si>
  <si>
    <t>Sandra Amarante Almonte</t>
  </si>
  <si>
    <t>Encargado de la Seccion de Correspondencia</t>
  </si>
  <si>
    <t>Santa Cabrera</t>
  </si>
  <si>
    <t>Santiago Martinez Tejeda</t>
  </si>
  <si>
    <t>Santo German</t>
  </si>
  <si>
    <t>Santos Amador Rosario</t>
  </si>
  <si>
    <t>Saturnino Sanchez Rosario</t>
  </si>
  <si>
    <t>Secundino Pichardo Morillo</t>
  </si>
  <si>
    <t>Segundo Jaime Robert</t>
  </si>
  <si>
    <t>Sergio Enrique Rodriguez</t>
  </si>
  <si>
    <t>Mecanico</t>
  </si>
  <si>
    <t>Severino Antonio Liriano Hernandez</t>
  </si>
  <si>
    <t>Shara Beatriz Santana Placido</t>
  </si>
  <si>
    <t>Asistente del Director</t>
  </si>
  <si>
    <t>Simeon Severino Heredia</t>
  </si>
  <si>
    <t>Simon Mosquea Acosta</t>
  </si>
  <si>
    <t>Sintia Carreras Familia</t>
  </si>
  <si>
    <t>Sonia Cordero Encarnacion De Ramirez</t>
  </si>
  <si>
    <t>Susano Rosario Gonzalez</t>
  </si>
  <si>
    <t>Tomas Tejada De Jesus</t>
  </si>
  <si>
    <t>Uvencio Garcia Ramirez</t>
  </si>
  <si>
    <t>Vanessa Aldamira De La Cruz Lugo</t>
  </si>
  <si>
    <t>Veronica Elizabeth Mendez Feliz</t>
  </si>
  <si>
    <t>Veronica Molina Green</t>
  </si>
  <si>
    <t>Vicente Colon Alberto</t>
  </si>
  <si>
    <t>Oficina Provincial San Francisco</t>
  </si>
  <si>
    <t>Vicente Serrano</t>
  </si>
  <si>
    <t>Victor Javier Ureña</t>
  </si>
  <si>
    <t>Victor Manuel Lopez Nuñez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</si>
  <si>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</si>
  <si>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</si>
  <si>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</si>
  <si>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</si>
  <si>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</si>
  <si>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</si>
  <si>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Waly Jose Quezada Montero</t>
  </si>
  <si>
    <t>Warter Chalas Medina</t>
  </si>
  <si>
    <t>Warys Sanchez Montero</t>
  </si>
  <si>
    <t>Wastenio Evangelista Martinez De Los Santos</t>
  </si>
  <si>
    <t>Wellington De Jesus Guerrero Ruiz</t>
  </si>
  <si>
    <t>Encargado Administrativo</t>
  </si>
  <si>
    <t>Wendy Guzman Tiburcio</t>
  </si>
  <si>
    <t>Willian Martinez Castillo</t>
  </si>
  <si>
    <t>Willians Basilio Castillo</t>
  </si>
  <si>
    <t>Willy Enmanuel Santos Tejada</t>
  </si>
  <si>
    <t>Wilmer Miguel Guillen</t>
  </si>
  <si>
    <t>Wilson Manuel Padilla Collado</t>
  </si>
  <si>
    <t>Winner Ezequiel Adad Sierra</t>
  </si>
  <si>
    <t>Xiomara Antonia Frias Antigua</t>
  </si>
  <si>
    <t>Yamilka Sosa Duran</t>
  </si>
  <si>
    <t>Yanet Yocasta De La Cruz</t>
  </si>
  <si>
    <t>Yanibel Jimenez Quezada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</si>
  <si>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</si>
  <si>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</si>
  <si>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</si>
  <si>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</si>
  <si>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</si>
  <si>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</si>
  <si>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Yhon Martin Feliz Santana</t>
  </si>
  <si>
    <t>Yicet Rosa</t>
  </si>
  <si>
    <t>Yngrid Patricia Ortiz De La Cruz</t>
  </si>
  <si>
    <t>Yocasta Sanchez Duran De Paulino</t>
  </si>
  <si>
    <t>Yohanna Elizabeth Ferreras Santana</t>
  </si>
  <si>
    <t>Yojanna Peralta Cepin</t>
  </si>
  <si>
    <t>Yokasta Prensa Salas</t>
  </si>
  <si>
    <t>Yolanda Maritza Mejia Perez</t>
  </si>
  <si>
    <t>Yolanda Mota</t>
  </si>
  <si>
    <t>Yoselin Valdez Suero</t>
  </si>
  <si>
    <t>Ysabel Luisa Arias Pichardo</t>
  </si>
  <si>
    <t>Yudy Antonia Angeles Ramos</t>
  </si>
  <si>
    <t>Yvelisse Altagracia Diaz Zapata De Santana</t>
  </si>
  <si>
    <t>Zacarias Sanchez Sanchez</t>
  </si>
  <si>
    <t>Zaida Altagracia Garcia Peguero</t>
  </si>
  <si>
    <t>Zaida Lina Mejia De Leon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</si>
  <si>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</si>
  <si>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</si>
  <si>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</si>
  <si>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</si>
  <si>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RD$1,577.45 por cada dependiente adicional registrado</t>
  </si>
  <si>
    <t>NÓMINA EMPLEADOS FIJOS CORRESPONDIENTE AL MES DE OCTUBRE 2023</t>
  </si>
  <si>
    <t>Wilson Antonio Garcia Martinez</t>
  </si>
  <si>
    <t>Angela Guerrero Martinez</t>
  </si>
  <si>
    <t>Johansel Alexander De La Cruz Cordero</t>
  </si>
  <si>
    <t>Adonis De Jesus Gonzalez Garcia</t>
  </si>
  <si>
    <t>Annie Marielle Santana Almanzar</t>
  </si>
  <si>
    <t>Eddy De La Cruz Morales</t>
  </si>
  <si>
    <t>TOTAL DE EMPLEADOS (614)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</si>
</sst>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00000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" fillId="2" borderId="10" xfId="0" applyFont="1" applyFill="1" applyBorder="1" applyAlignment="1">
      <alignment horizontal="center" wrapText="1"/>
    </xf>
    <xf numFmtId="0" fontId="2" fillId="2" borderId="5" xfId="0" applyFont="1" applyFill="1" applyBorder="1"/>
    <xf numFmtId="0" fontId="0" fillId="2" borderId="10" xfId="0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4" fontId="6" fillId="2" borderId="12" xfId="1" applyNumberFormat="1" applyFont="1" applyFill="1" applyBorder="1"/>
    <xf numFmtId="4" fontId="6" fillId="2" borderId="11" xfId="1" applyNumberFormat="1" applyFont="1" applyFill="1" applyBorder="1"/>
    <xf numFmtId="0" fontId="6" fillId="2" borderId="12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 applyAlignment="1">
      <alignment horizontal="center"/>
    </xf>
    <xf numFmtId="43" fontId="0" fillId="2" borderId="0" xfId="1" applyFont="1" applyFill="1"/>
    <xf numFmtId="4" fontId="0" fillId="2" borderId="0" xfId="0" applyNumberFormat="1" applyFill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8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" fontId="6" fillId="2" borderId="0" xfId="1" applyNumberFormat="1" applyFont="1" applyFill="1" applyBorder="1"/>
    <xf numFmtId="4" fontId="7" fillId="3" borderId="19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/>
    <xf numFmtId="164" fontId="0" fillId="2" borderId="0" xfId="0" applyNumberFormat="1" applyFill="1"/>
    <xf numFmtId="0" fontId="3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39" fontId="0" fillId="2" borderId="0" xfId="0" applyNumberFormat="1" applyFill="1"/>
    <xf numFmtId="4" fontId="6" fillId="2" borderId="0" xfId="0" applyNumberFormat="1" applyFont="1" applyFill="1"/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43" fontId="6" fillId="2" borderId="0" xfId="1" applyFont="1" applyFill="1" applyBorder="1"/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43" fontId="0" fillId="2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57150</xdr:rowOff>
    </xdr:from>
    <xdr:ext cx="4876800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06725" y="57150"/>
          <a:ext cx="4876800" cy="1228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1558"/>
  <sheetViews>
    <sheetView tabSelected="1" zoomScaleNormal="100" workbookViewId="0">
      <selection activeCell="B612" sqref="B612"/>
    </sheetView>
  </sheetViews>
  <sheetFormatPr baseColWidth="10" defaultColWidth="11.44140625" defaultRowHeight="14.4"/>
  <cols>
    <col min="1" max="1" width="8.6640625" style="1" customWidth="1"/>
    <col min="2" max="2" width="41.6640625" style="1" customWidth="1"/>
    <col min="3" max="3" width="55.44140625" style="1" bestFit="1" customWidth="1"/>
    <col min="4" max="4" width="54.88671875" style="1" bestFit="1" customWidth="1"/>
    <col min="5" max="5" width="23.33203125" style="1" bestFit="1" customWidth="1"/>
    <col min="6" max="6" width="15.21875" style="1" bestFit="1" customWidth="1"/>
    <col min="7" max="7" width="12.109375" style="1" bestFit="1" customWidth="1"/>
    <col min="8" max="8" width="11.5546875" style="1" bestFit="1" customWidth="1"/>
    <col min="9" max="9" width="11.6640625" style="1" bestFit="1" customWidth="1"/>
    <col min="10" max="10" width="14.77734375" style="1" bestFit="1" customWidth="1"/>
    <col min="11" max="11" width="14.6640625" style="1" bestFit="1" customWidth="1"/>
    <col min="12" max="12" width="13.44140625" style="1" bestFit="1" customWidth="1"/>
    <col min="13" max="13" width="19.6640625" style="1" bestFit="1" customWidth="1"/>
    <col min="14" max="14" width="14.6640625" style="1" bestFit="1" customWidth="1"/>
    <col min="15" max="15" width="13.44140625" style="1" bestFit="1" customWidth="1"/>
    <col min="16" max="16" width="22.33203125" style="1" bestFit="1" customWidth="1"/>
    <col min="17" max="17" width="14.109375" style="1" customWidth="1"/>
    <col min="18" max="18" width="15.5546875" style="1" bestFit="1" customWidth="1"/>
    <col min="19" max="19" width="14.6640625" style="1" bestFit="1" customWidth="1"/>
    <col min="20" max="20" width="17.33203125" style="1" bestFit="1" customWidth="1"/>
    <col min="21" max="25" width="11.44140625" style="1"/>
    <col min="26" max="26" width="17.33203125" style="1" bestFit="1" customWidth="1"/>
    <col min="27" max="16384" width="11.44140625" style="1"/>
  </cols>
  <sheetData>
    <row r="9" spans="1:31" ht="15.6">
      <c r="I9" s="49" t="s">
        <v>740</v>
      </c>
      <c r="J9" s="49"/>
      <c r="K9" s="49"/>
      <c r="L9" s="49"/>
      <c r="M9" s="49"/>
      <c r="N9" s="49"/>
      <c r="O9" s="49"/>
      <c r="P9" s="4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2" spans="1:31" ht="15" thickBot="1"/>
    <row r="13" spans="1:31" ht="16.5" customHeight="1" thickBot="1">
      <c r="A13" s="3"/>
      <c r="B13" s="4"/>
      <c r="C13" s="4"/>
      <c r="D13" s="4"/>
      <c r="E13" s="4"/>
      <c r="F13" s="4"/>
      <c r="G13" s="4"/>
      <c r="H13" s="4"/>
      <c r="I13" s="4"/>
      <c r="J13" s="5"/>
      <c r="K13" s="50" t="s">
        <v>0</v>
      </c>
      <c r="L13" s="51"/>
      <c r="M13" s="51"/>
      <c r="N13" s="51"/>
      <c r="O13" s="51"/>
      <c r="P13" s="52"/>
      <c r="Q13" s="6"/>
      <c r="R13" s="6"/>
      <c r="S13" s="6"/>
      <c r="T13" s="6"/>
      <c r="U13" s="7"/>
    </row>
    <row r="14" spans="1:31" ht="30.75" customHeight="1" thickBot="1">
      <c r="A14" s="8"/>
      <c r="B14" s="9"/>
      <c r="C14" s="9"/>
      <c r="D14" s="9"/>
      <c r="E14" s="9"/>
      <c r="F14" s="9"/>
      <c r="G14" s="9"/>
      <c r="H14" s="9"/>
      <c r="I14" s="9"/>
      <c r="J14" s="10"/>
      <c r="K14" s="50" t="s">
        <v>1</v>
      </c>
      <c r="L14" s="52"/>
      <c r="M14" s="6"/>
      <c r="N14" s="50" t="s">
        <v>2</v>
      </c>
      <c r="O14" s="52"/>
      <c r="P14" s="11" t="s">
        <v>3</v>
      </c>
      <c r="Q14" s="12"/>
      <c r="R14" s="50" t="s">
        <v>4</v>
      </c>
      <c r="S14" s="52"/>
      <c r="T14" s="13"/>
      <c r="U14" s="7"/>
    </row>
    <row r="15" spans="1:31" ht="31.8" thickBot="1">
      <c r="A15" s="14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10</v>
      </c>
      <c r="G15" s="15" t="s">
        <v>11</v>
      </c>
      <c r="H15" s="15" t="s">
        <v>12</v>
      </c>
      <c r="I15" s="15" t="s">
        <v>13</v>
      </c>
      <c r="J15" s="16" t="s">
        <v>14</v>
      </c>
      <c r="K15" s="11" t="s">
        <v>15</v>
      </c>
      <c r="L15" s="47" t="s">
        <v>16</v>
      </c>
      <c r="M15" s="11" t="s">
        <v>17</v>
      </c>
      <c r="N15" s="11" t="s">
        <v>18</v>
      </c>
      <c r="O15" s="11" t="s">
        <v>19</v>
      </c>
      <c r="P15" s="11" t="s">
        <v>20</v>
      </c>
      <c r="Q15" s="11" t="s">
        <v>21</v>
      </c>
      <c r="R15" s="11" t="s">
        <v>22</v>
      </c>
      <c r="S15" s="11" t="s">
        <v>23</v>
      </c>
      <c r="T15" s="11" t="s">
        <v>24</v>
      </c>
      <c r="U15" s="48" t="s">
        <v>25</v>
      </c>
    </row>
    <row r="16" spans="1:31" ht="15.75" customHeight="1">
      <c r="A16" s="17">
        <v>1</v>
      </c>
      <c r="B16" s="17" t="s">
        <v>26</v>
      </c>
      <c r="C16" s="17" t="s">
        <v>27</v>
      </c>
      <c r="D16" s="17" t="s">
        <v>28</v>
      </c>
      <c r="E16" s="18" t="s">
        <v>29</v>
      </c>
      <c r="F16" s="19">
        <v>225000</v>
      </c>
      <c r="G16" s="20">
        <v>41797.14</v>
      </c>
      <c r="H16" s="20">
        <v>25</v>
      </c>
      <c r="I16" s="20">
        <v>0</v>
      </c>
      <c r="J16" s="20">
        <v>0</v>
      </c>
      <c r="K16" s="20">
        <f t="shared" ref="K16:K80" si="0">F16*2.87%</f>
        <v>6457.5</v>
      </c>
      <c r="L16" s="20">
        <f t="shared" ref="L16:L80" si="1">F16*7.1%</f>
        <v>15974.999999999998</v>
      </c>
      <c r="M16" s="20">
        <v>972.5</v>
      </c>
      <c r="N16" s="20">
        <v>5685.41</v>
      </c>
      <c r="O16" s="20">
        <v>13259.72</v>
      </c>
      <c r="P16" s="19">
        <v>0</v>
      </c>
      <c r="Q16" s="19">
        <f t="shared" ref="Q16:Q80" si="2">K16+N16</f>
        <v>12142.91</v>
      </c>
      <c r="R16" s="19">
        <f t="shared" ref="R16:R80" si="3">G16+H16+I16+J16+K16+N16+P16</f>
        <v>53965.05</v>
      </c>
      <c r="S16" s="19">
        <f t="shared" ref="S16:S80" si="4">L16+M16+O16</f>
        <v>30207.22</v>
      </c>
      <c r="T16" s="19">
        <f t="shared" ref="T16:T80" si="5">F16-R16</f>
        <v>171034.95</v>
      </c>
      <c r="U16" s="18" t="s">
        <v>30</v>
      </c>
    </row>
    <row r="17" spans="1:21" ht="15.75" customHeight="1">
      <c r="A17" s="21">
        <v>2</v>
      </c>
      <c r="B17" s="21" t="s">
        <v>31</v>
      </c>
      <c r="C17" s="21" t="s">
        <v>32</v>
      </c>
      <c r="D17" s="21" t="s">
        <v>28</v>
      </c>
      <c r="E17" s="22" t="s">
        <v>29</v>
      </c>
      <c r="F17" s="19">
        <v>175000</v>
      </c>
      <c r="G17" s="20">
        <v>29747.24</v>
      </c>
      <c r="H17" s="20">
        <v>25</v>
      </c>
      <c r="I17" s="20">
        <v>0</v>
      </c>
      <c r="J17" s="20">
        <v>0</v>
      </c>
      <c r="K17" s="20">
        <f t="shared" si="0"/>
        <v>5022.5</v>
      </c>
      <c r="L17" s="20">
        <f t="shared" si="1"/>
        <v>12424.999999999998</v>
      </c>
      <c r="M17" s="20">
        <v>972.5</v>
      </c>
      <c r="N17" s="20">
        <v>5320</v>
      </c>
      <c r="O17" s="20">
        <v>12407.5</v>
      </c>
      <c r="P17" s="20">
        <v>0</v>
      </c>
      <c r="Q17" s="19">
        <f t="shared" si="2"/>
        <v>10342.5</v>
      </c>
      <c r="R17" s="19">
        <f t="shared" si="3"/>
        <v>40114.740000000005</v>
      </c>
      <c r="S17" s="19">
        <f t="shared" si="4"/>
        <v>25805</v>
      </c>
      <c r="T17" s="19">
        <f t="shared" si="5"/>
        <v>134885.26</v>
      </c>
      <c r="U17" s="22" t="s">
        <v>30</v>
      </c>
    </row>
    <row r="18" spans="1:21" ht="15.75" customHeight="1">
      <c r="A18" s="21">
        <v>3</v>
      </c>
      <c r="B18" s="21" t="s">
        <v>33</v>
      </c>
      <c r="C18" s="21" t="s">
        <v>34</v>
      </c>
      <c r="D18" s="21" t="s">
        <v>35</v>
      </c>
      <c r="E18" s="22" t="s">
        <v>29</v>
      </c>
      <c r="F18" s="19">
        <v>175000</v>
      </c>
      <c r="G18" s="20">
        <v>29747.24</v>
      </c>
      <c r="H18" s="20">
        <v>25</v>
      </c>
      <c r="I18" s="20">
        <v>0</v>
      </c>
      <c r="J18" s="20">
        <f>4500+500</f>
        <v>5000</v>
      </c>
      <c r="K18" s="20">
        <f t="shared" si="0"/>
        <v>5022.5</v>
      </c>
      <c r="L18" s="20">
        <f t="shared" si="1"/>
        <v>12424.999999999998</v>
      </c>
      <c r="M18" s="20">
        <v>972.5</v>
      </c>
      <c r="N18" s="20">
        <v>5320</v>
      </c>
      <c r="O18" s="20">
        <v>12407.5</v>
      </c>
      <c r="P18" s="20">
        <v>0</v>
      </c>
      <c r="Q18" s="19">
        <f t="shared" si="2"/>
        <v>10342.5</v>
      </c>
      <c r="R18" s="19">
        <f t="shared" si="3"/>
        <v>45114.740000000005</v>
      </c>
      <c r="S18" s="19">
        <f t="shared" si="4"/>
        <v>25805</v>
      </c>
      <c r="T18" s="19">
        <f t="shared" si="5"/>
        <v>129885.26</v>
      </c>
      <c r="U18" s="22" t="s">
        <v>36</v>
      </c>
    </row>
    <row r="19" spans="1:21" ht="15.75" customHeight="1">
      <c r="A19" s="17">
        <v>4</v>
      </c>
      <c r="B19" s="21" t="s">
        <v>37</v>
      </c>
      <c r="C19" s="21" t="s">
        <v>38</v>
      </c>
      <c r="D19" s="21" t="s">
        <v>35</v>
      </c>
      <c r="E19" s="22" t="s">
        <v>29</v>
      </c>
      <c r="F19" s="19">
        <v>175000</v>
      </c>
      <c r="G19" s="20">
        <v>29747.24</v>
      </c>
      <c r="H19" s="20">
        <v>25</v>
      </c>
      <c r="I19" s="20">
        <v>0</v>
      </c>
      <c r="J19" s="20">
        <f>3700+300</f>
        <v>4000</v>
      </c>
      <c r="K19" s="20">
        <f t="shared" si="0"/>
        <v>5022.5</v>
      </c>
      <c r="L19" s="20">
        <f t="shared" si="1"/>
        <v>12424.999999999998</v>
      </c>
      <c r="M19" s="20">
        <v>972.5</v>
      </c>
      <c r="N19" s="20">
        <v>5320</v>
      </c>
      <c r="O19" s="20">
        <v>12407.5</v>
      </c>
      <c r="P19" s="20">
        <v>0</v>
      </c>
      <c r="Q19" s="19">
        <f t="shared" si="2"/>
        <v>10342.5</v>
      </c>
      <c r="R19" s="19">
        <f t="shared" si="3"/>
        <v>44114.740000000005</v>
      </c>
      <c r="S19" s="19">
        <f t="shared" si="4"/>
        <v>25805</v>
      </c>
      <c r="T19" s="19">
        <f t="shared" si="5"/>
        <v>130885.26</v>
      </c>
      <c r="U19" s="22" t="s">
        <v>30</v>
      </c>
    </row>
    <row r="20" spans="1:21" ht="15.75" customHeight="1">
      <c r="A20" s="21">
        <v>5</v>
      </c>
      <c r="B20" s="21" t="s">
        <v>39</v>
      </c>
      <c r="C20" s="21" t="s">
        <v>40</v>
      </c>
      <c r="D20" s="21" t="s">
        <v>41</v>
      </c>
      <c r="E20" s="22" t="s">
        <v>29</v>
      </c>
      <c r="F20" s="19">
        <v>175000</v>
      </c>
      <c r="G20" s="20">
        <v>29747.24</v>
      </c>
      <c r="H20" s="20">
        <v>25</v>
      </c>
      <c r="I20" s="20">
        <v>0</v>
      </c>
      <c r="J20" s="20">
        <v>0</v>
      </c>
      <c r="K20" s="20">
        <f t="shared" si="0"/>
        <v>5022.5</v>
      </c>
      <c r="L20" s="20">
        <f t="shared" si="1"/>
        <v>12424.999999999998</v>
      </c>
      <c r="M20" s="20">
        <v>972.5</v>
      </c>
      <c r="N20" s="20">
        <v>5320</v>
      </c>
      <c r="O20" s="20">
        <v>12407.5</v>
      </c>
      <c r="P20" s="20">
        <v>0</v>
      </c>
      <c r="Q20" s="19">
        <f t="shared" si="2"/>
        <v>10342.5</v>
      </c>
      <c r="R20" s="19">
        <f t="shared" si="3"/>
        <v>40114.740000000005</v>
      </c>
      <c r="S20" s="19">
        <f t="shared" si="4"/>
        <v>25805</v>
      </c>
      <c r="T20" s="19">
        <f t="shared" si="5"/>
        <v>134885.26</v>
      </c>
      <c r="U20" s="22" t="s">
        <v>30</v>
      </c>
    </row>
    <row r="21" spans="1:21" ht="15.75" customHeight="1">
      <c r="A21" s="21">
        <v>6</v>
      </c>
      <c r="B21" s="21" t="s">
        <v>42</v>
      </c>
      <c r="C21" s="21" t="s">
        <v>32</v>
      </c>
      <c r="D21" s="21" t="s">
        <v>28</v>
      </c>
      <c r="E21" s="22" t="s">
        <v>29</v>
      </c>
      <c r="F21" s="19">
        <v>150000</v>
      </c>
      <c r="G21" s="20">
        <v>23866.62</v>
      </c>
      <c r="H21" s="20">
        <v>25</v>
      </c>
      <c r="I21" s="20">
        <v>0</v>
      </c>
      <c r="J21" s="20">
        <v>0</v>
      </c>
      <c r="K21" s="20">
        <f t="shared" si="0"/>
        <v>4305</v>
      </c>
      <c r="L21" s="20">
        <f t="shared" si="1"/>
        <v>10649.999999999998</v>
      </c>
      <c r="M21" s="20">
        <v>972.5</v>
      </c>
      <c r="N21" s="20">
        <v>4560</v>
      </c>
      <c r="O21" s="20">
        <v>10635</v>
      </c>
      <c r="P21" s="20">
        <v>0</v>
      </c>
      <c r="Q21" s="19">
        <f t="shared" si="2"/>
        <v>8865</v>
      </c>
      <c r="R21" s="19">
        <f t="shared" si="3"/>
        <v>32756.62</v>
      </c>
      <c r="S21" s="19">
        <f t="shared" si="4"/>
        <v>22257.5</v>
      </c>
      <c r="T21" s="19">
        <f t="shared" si="5"/>
        <v>117243.38</v>
      </c>
      <c r="U21" s="22" t="s">
        <v>30</v>
      </c>
    </row>
    <row r="22" spans="1:21" ht="15.75" customHeight="1">
      <c r="A22" s="17">
        <v>7</v>
      </c>
      <c r="B22" s="21" t="s">
        <v>43</v>
      </c>
      <c r="C22" s="23" t="s">
        <v>32</v>
      </c>
      <c r="D22" s="21" t="s">
        <v>28</v>
      </c>
      <c r="E22" s="22" t="s">
        <v>29</v>
      </c>
      <c r="F22" s="19">
        <v>150000</v>
      </c>
      <c r="G22" s="20">
        <v>23866.62</v>
      </c>
      <c r="H22" s="20">
        <v>25</v>
      </c>
      <c r="I22" s="20">
        <v>0</v>
      </c>
      <c r="J22" s="20">
        <v>0</v>
      </c>
      <c r="K22" s="20">
        <f>F22*2.87%</f>
        <v>4305</v>
      </c>
      <c r="L22" s="20">
        <f t="shared" si="1"/>
        <v>10649.999999999998</v>
      </c>
      <c r="M22" s="20">
        <v>972.5</v>
      </c>
      <c r="N22" s="20">
        <v>4560</v>
      </c>
      <c r="O22" s="20">
        <v>10635</v>
      </c>
      <c r="P22" s="20">
        <v>0</v>
      </c>
      <c r="Q22" s="19">
        <f t="shared" si="2"/>
        <v>8865</v>
      </c>
      <c r="R22" s="19">
        <f t="shared" si="3"/>
        <v>32756.62</v>
      </c>
      <c r="S22" s="19">
        <f t="shared" si="4"/>
        <v>22257.5</v>
      </c>
      <c r="T22" s="19">
        <f t="shared" si="5"/>
        <v>117243.38</v>
      </c>
      <c r="U22" s="22" t="s">
        <v>30</v>
      </c>
    </row>
    <row r="23" spans="1:21" ht="15.75" customHeight="1">
      <c r="A23" s="21">
        <v>8</v>
      </c>
      <c r="B23" s="21" t="s">
        <v>44</v>
      </c>
      <c r="C23" s="23" t="s">
        <v>32</v>
      </c>
      <c r="D23" s="21" t="s">
        <v>28</v>
      </c>
      <c r="E23" s="22" t="s">
        <v>29</v>
      </c>
      <c r="F23" s="19">
        <v>150000</v>
      </c>
      <c r="G23" s="20">
        <v>23866.62</v>
      </c>
      <c r="H23" s="20">
        <v>25</v>
      </c>
      <c r="I23" s="20">
        <v>0</v>
      </c>
      <c r="J23" s="20">
        <v>0</v>
      </c>
      <c r="K23" s="20">
        <f t="shared" si="0"/>
        <v>4305</v>
      </c>
      <c r="L23" s="20">
        <f t="shared" si="1"/>
        <v>10649.999999999998</v>
      </c>
      <c r="M23" s="20">
        <v>972.5</v>
      </c>
      <c r="N23" s="20">
        <v>4560</v>
      </c>
      <c r="O23" s="20">
        <v>10635</v>
      </c>
      <c r="P23" s="20">
        <v>0</v>
      </c>
      <c r="Q23" s="19">
        <f t="shared" si="2"/>
        <v>8865</v>
      </c>
      <c r="R23" s="19">
        <f t="shared" si="3"/>
        <v>32756.62</v>
      </c>
      <c r="S23" s="19">
        <f t="shared" si="4"/>
        <v>22257.5</v>
      </c>
      <c r="T23" s="19">
        <f t="shared" si="5"/>
        <v>117243.38</v>
      </c>
      <c r="U23" s="22" t="s">
        <v>30</v>
      </c>
    </row>
    <row r="24" spans="1:21" ht="15.75" customHeight="1">
      <c r="A24" s="21">
        <v>9</v>
      </c>
      <c r="B24" s="21" t="s">
        <v>45</v>
      </c>
      <c r="C24" s="21" t="s">
        <v>46</v>
      </c>
      <c r="D24" s="21" t="s">
        <v>28</v>
      </c>
      <c r="E24" s="22" t="s">
        <v>29</v>
      </c>
      <c r="F24" s="19">
        <v>90000</v>
      </c>
      <c r="G24" s="20">
        <v>8959.43</v>
      </c>
      <c r="H24" s="20">
        <v>25</v>
      </c>
      <c r="I24" s="20">
        <v>0</v>
      </c>
      <c r="J24" s="20">
        <v>0</v>
      </c>
      <c r="K24" s="20">
        <f t="shared" si="0"/>
        <v>2583</v>
      </c>
      <c r="L24" s="20">
        <f t="shared" si="1"/>
        <v>6389.9999999999991</v>
      </c>
      <c r="M24" s="20">
        <v>972.5</v>
      </c>
      <c r="N24" s="20">
        <v>2736</v>
      </c>
      <c r="O24" s="20">
        <v>6381</v>
      </c>
      <c r="P24" s="20">
        <v>3174.76</v>
      </c>
      <c r="Q24" s="19">
        <f t="shared" si="2"/>
        <v>5319</v>
      </c>
      <c r="R24" s="19">
        <f t="shared" si="3"/>
        <v>17478.190000000002</v>
      </c>
      <c r="S24" s="19">
        <f t="shared" si="4"/>
        <v>13743.5</v>
      </c>
      <c r="T24" s="19">
        <f t="shared" si="5"/>
        <v>72521.81</v>
      </c>
      <c r="U24" s="22" t="s">
        <v>30</v>
      </c>
    </row>
    <row r="25" spans="1:21" ht="15.75" customHeight="1">
      <c r="A25" s="17">
        <v>10</v>
      </c>
      <c r="B25" s="21" t="s">
        <v>47</v>
      </c>
      <c r="C25" s="21" t="s">
        <v>48</v>
      </c>
      <c r="D25" s="21" t="s">
        <v>49</v>
      </c>
      <c r="E25" s="22" t="s">
        <v>29</v>
      </c>
      <c r="F25" s="19">
        <v>26000</v>
      </c>
      <c r="G25" s="20">
        <v>0</v>
      </c>
      <c r="H25" s="20">
        <v>25</v>
      </c>
      <c r="I25" s="20">
        <v>0</v>
      </c>
      <c r="J25" s="20">
        <f>500+300+2261.04</f>
        <v>3061.04</v>
      </c>
      <c r="K25" s="20">
        <f t="shared" si="0"/>
        <v>746.2</v>
      </c>
      <c r="L25" s="20">
        <f t="shared" si="1"/>
        <v>1845.9999999999998</v>
      </c>
      <c r="M25" s="20">
        <v>338</v>
      </c>
      <c r="N25" s="20">
        <v>790.4</v>
      </c>
      <c r="O25" s="20">
        <v>1843.4</v>
      </c>
      <c r="P25" s="20">
        <v>1587.38</v>
      </c>
      <c r="Q25" s="19">
        <f t="shared" si="2"/>
        <v>1536.6</v>
      </c>
      <c r="R25" s="19">
        <f t="shared" si="3"/>
        <v>6210.0199999999995</v>
      </c>
      <c r="S25" s="19">
        <f t="shared" si="4"/>
        <v>4027.4</v>
      </c>
      <c r="T25" s="19">
        <f t="shared" si="5"/>
        <v>19789.98</v>
      </c>
      <c r="U25" s="22" t="s">
        <v>36</v>
      </c>
    </row>
    <row r="26" spans="1:21" ht="15.75" customHeight="1">
      <c r="A26" s="21">
        <v>11</v>
      </c>
      <c r="B26" s="21" t="s">
        <v>50</v>
      </c>
      <c r="C26" s="21" t="s">
        <v>51</v>
      </c>
      <c r="D26" s="21" t="s">
        <v>52</v>
      </c>
      <c r="E26" s="22" t="s">
        <v>29</v>
      </c>
      <c r="F26" s="19">
        <v>10000</v>
      </c>
      <c r="G26" s="20">
        <v>0</v>
      </c>
      <c r="H26" s="20">
        <v>25</v>
      </c>
      <c r="I26" s="20">
        <v>0</v>
      </c>
      <c r="J26" s="20">
        <f>300+1000+861.16</f>
        <v>2161.16</v>
      </c>
      <c r="K26" s="20">
        <f t="shared" si="0"/>
        <v>287</v>
      </c>
      <c r="L26" s="20">
        <f t="shared" si="1"/>
        <v>709.99999999999989</v>
      </c>
      <c r="M26" s="20">
        <v>130</v>
      </c>
      <c r="N26" s="20">
        <v>304</v>
      </c>
      <c r="O26" s="20">
        <v>709</v>
      </c>
      <c r="P26" s="20">
        <v>0</v>
      </c>
      <c r="Q26" s="19">
        <f t="shared" si="2"/>
        <v>591</v>
      </c>
      <c r="R26" s="19">
        <f t="shared" si="3"/>
        <v>2777.16</v>
      </c>
      <c r="S26" s="19">
        <f t="shared" si="4"/>
        <v>1549</v>
      </c>
      <c r="T26" s="19">
        <f t="shared" si="5"/>
        <v>7222.84</v>
      </c>
      <c r="U26" s="22" t="s">
        <v>36</v>
      </c>
    </row>
    <row r="27" spans="1:21" ht="15.75" customHeight="1">
      <c r="A27" s="21">
        <v>12</v>
      </c>
      <c r="B27" s="21" t="s">
        <v>53</v>
      </c>
      <c r="C27" s="21" t="s">
        <v>54</v>
      </c>
      <c r="D27" s="21" t="s">
        <v>55</v>
      </c>
      <c r="E27" s="22" t="s">
        <v>29</v>
      </c>
      <c r="F27" s="19">
        <v>12000</v>
      </c>
      <c r="G27" s="20">
        <v>0</v>
      </c>
      <c r="H27" s="20">
        <v>25</v>
      </c>
      <c r="I27" s="20">
        <v>0</v>
      </c>
      <c r="J27" s="20">
        <v>0</v>
      </c>
      <c r="K27" s="20">
        <f t="shared" si="0"/>
        <v>344.4</v>
      </c>
      <c r="L27" s="20">
        <f t="shared" si="1"/>
        <v>851.99999999999989</v>
      </c>
      <c r="M27" s="20">
        <v>156</v>
      </c>
      <c r="N27" s="20">
        <v>364.8</v>
      </c>
      <c r="O27" s="20">
        <v>850.80000000000007</v>
      </c>
      <c r="P27" s="20">
        <v>0</v>
      </c>
      <c r="Q27" s="19">
        <f t="shared" si="2"/>
        <v>709.2</v>
      </c>
      <c r="R27" s="19">
        <f t="shared" si="3"/>
        <v>734.2</v>
      </c>
      <c r="S27" s="19">
        <f t="shared" si="4"/>
        <v>1858.8</v>
      </c>
      <c r="T27" s="19">
        <f t="shared" si="5"/>
        <v>11265.8</v>
      </c>
      <c r="U27" s="22" t="s">
        <v>36</v>
      </c>
    </row>
    <row r="28" spans="1:21" ht="15.75" customHeight="1">
      <c r="A28" s="17">
        <v>13</v>
      </c>
      <c r="B28" s="21" t="s">
        <v>56</v>
      </c>
      <c r="C28" s="24" t="s">
        <v>57</v>
      </c>
      <c r="D28" s="21" t="s">
        <v>58</v>
      </c>
      <c r="E28" s="25" t="s">
        <v>29</v>
      </c>
      <c r="F28" s="19">
        <v>15000</v>
      </c>
      <c r="G28" s="20">
        <v>0</v>
      </c>
      <c r="H28" s="20">
        <v>25</v>
      </c>
      <c r="I28" s="20">
        <v>0</v>
      </c>
      <c r="J28" s="20">
        <f>300+1000+3494.44</f>
        <v>4794.4400000000005</v>
      </c>
      <c r="K28" s="20">
        <f t="shared" si="0"/>
        <v>430.5</v>
      </c>
      <c r="L28" s="20">
        <f t="shared" si="1"/>
        <v>1065</v>
      </c>
      <c r="M28" s="20">
        <v>195</v>
      </c>
      <c r="N28" s="20">
        <v>456</v>
      </c>
      <c r="O28" s="20">
        <v>1063.5</v>
      </c>
      <c r="P28" s="20">
        <v>0</v>
      </c>
      <c r="Q28" s="19">
        <f t="shared" si="2"/>
        <v>886.5</v>
      </c>
      <c r="R28" s="19">
        <f t="shared" si="3"/>
        <v>5705.9400000000005</v>
      </c>
      <c r="S28" s="19">
        <f t="shared" si="4"/>
        <v>2323.5</v>
      </c>
      <c r="T28" s="19">
        <f t="shared" si="5"/>
        <v>9294.06</v>
      </c>
      <c r="U28" s="22" t="s">
        <v>30</v>
      </c>
    </row>
    <row r="29" spans="1:21" ht="15.75" customHeight="1">
      <c r="A29" s="21">
        <v>14</v>
      </c>
      <c r="B29" s="21" t="s">
        <v>59</v>
      </c>
      <c r="C29" s="24" t="s">
        <v>60</v>
      </c>
      <c r="D29" s="21" t="s">
        <v>61</v>
      </c>
      <c r="E29" s="25" t="s">
        <v>29</v>
      </c>
      <c r="F29" s="19">
        <v>25000</v>
      </c>
      <c r="G29" s="20">
        <v>0</v>
      </c>
      <c r="H29" s="20">
        <v>25</v>
      </c>
      <c r="I29" s="20">
        <v>0</v>
      </c>
      <c r="J29" s="20">
        <f>500+1000+4464.07</f>
        <v>5964.07</v>
      </c>
      <c r="K29" s="20">
        <f t="shared" si="0"/>
        <v>717.5</v>
      </c>
      <c r="L29" s="20">
        <f t="shared" si="1"/>
        <v>1774.9999999999998</v>
      </c>
      <c r="M29" s="20">
        <v>325</v>
      </c>
      <c r="N29" s="20">
        <v>760</v>
      </c>
      <c r="O29" s="20">
        <v>1772.5000000000002</v>
      </c>
      <c r="P29" s="20">
        <v>0</v>
      </c>
      <c r="Q29" s="19">
        <f t="shared" si="2"/>
        <v>1477.5</v>
      </c>
      <c r="R29" s="19">
        <f t="shared" si="3"/>
        <v>7466.57</v>
      </c>
      <c r="S29" s="19">
        <f t="shared" si="4"/>
        <v>3872.5</v>
      </c>
      <c r="T29" s="19">
        <f t="shared" si="5"/>
        <v>17533.43</v>
      </c>
      <c r="U29" s="22" t="s">
        <v>30</v>
      </c>
    </row>
    <row r="30" spans="1:21" ht="15.75" customHeight="1">
      <c r="A30" s="21">
        <v>15</v>
      </c>
      <c r="B30" s="21" t="s">
        <v>62</v>
      </c>
      <c r="C30" s="21" t="s">
        <v>63</v>
      </c>
      <c r="D30" s="21" t="s">
        <v>64</v>
      </c>
      <c r="E30" s="22" t="s">
        <v>29</v>
      </c>
      <c r="F30" s="19">
        <v>20000</v>
      </c>
      <c r="G30" s="20">
        <v>0</v>
      </c>
      <c r="H30" s="20">
        <v>25</v>
      </c>
      <c r="I30" s="20">
        <v>0</v>
      </c>
      <c r="J30" s="20">
        <v>0</v>
      </c>
      <c r="K30" s="20">
        <f t="shared" si="0"/>
        <v>574</v>
      </c>
      <c r="L30" s="20">
        <f t="shared" si="1"/>
        <v>1419.9999999999998</v>
      </c>
      <c r="M30" s="20">
        <v>260</v>
      </c>
      <c r="N30" s="20">
        <v>608</v>
      </c>
      <c r="O30" s="20">
        <v>1418</v>
      </c>
      <c r="P30" s="20">
        <v>0</v>
      </c>
      <c r="Q30" s="19">
        <f t="shared" si="2"/>
        <v>1182</v>
      </c>
      <c r="R30" s="19">
        <f t="shared" si="3"/>
        <v>1207</v>
      </c>
      <c r="S30" s="19">
        <f t="shared" si="4"/>
        <v>3098</v>
      </c>
      <c r="T30" s="19">
        <f t="shared" si="5"/>
        <v>18793</v>
      </c>
      <c r="U30" s="22" t="s">
        <v>30</v>
      </c>
    </row>
    <row r="31" spans="1:21" ht="15.75" customHeight="1">
      <c r="A31" s="17">
        <v>16</v>
      </c>
      <c r="B31" s="21" t="s">
        <v>65</v>
      </c>
      <c r="C31" s="21" t="s">
        <v>66</v>
      </c>
      <c r="D31" s="21" t="s">
        <v>58</v>
      </c>
      <c r="E31" s="22" t="s">
        <v>29</v>
      </c>
      <c r="F31" s="19">
        <v>15000</v>
      </c>
      <c r="G31" s="20">
        <v>0</v>
      </c>
      <c r="H31" s="20">
        <v>25</v>
      </c>
      <c r="I31" s="20">
        <v>0</v>
      </c>
      <c r="J31" s="20">
        <v>0</v>
      </c>
      <c r="K31" s="20">
        <f t="shared" si="0"/>
        <v>430.5</v>
      </c>
      <c r="L31" s="20">
        <f t="shared" si="1"/>
        <v>1065</v>
      </c>
      <c r="M31" s="20">
        <v>195</v>
      </c>
      <c r="N31" s="20">
        <v>456</v>
      </c>
      <c r="O31" s="20">
        <v>1063.5</v>
      </c>
      <c r="P31" s="20">
        <v>0</v>
      </c>
      <c r="Q31" s="19">
        <f t="shared" si="2"/>
        <v>886.5</v>
      </c>
      <c r="R31" s="19">
        <f t="shared" si="3"/>
        <v>911.5</v>
      </c>
      <c r="S31" s="19">
        <f t="shared" si="4"/>
        <v>2323.5</v>
      </c>
      <c r="T31" s="19">
        <f t="shared" si="5"/>
        <v>14088.5</v>
      </c>
      <c r="U31" s="22" t="s">
        <v>30</v>
      </c>
    </row>
    <row r="32" spans="1:21" ht="15.75" customHeight="1">
      <c r="A32" s="21">
        <v>17</v>
      </c>
      <c r="B32" s="21" t="s">
        <v>67</v>
      </c>
      <c r="C32" s="21" t="s">
        <v>68</v>
      </c>
      <c r="D32" s="21" t="s">
        <v>69</v>
      </c>
      <c r="E32" s="22" t="s">
        <v>29</v>
      </c>
      <c r="F32" s="19">
        <v>13000</v>
      </c>
      <c r="G32" s="20">
        <v>0</v>
      </c>
      <c r="H32" s="20">
        <v>25</v>
      </c>
      <c r="I32" s="20">
        <v>0</v>
      </c>
      <c r="J32" s="20">
        <f>300+300+7591.07</f>
        <v>8191.07</v>
      </c>
      <c r="K32" s="20">
        <f t="shared" si="0"/>
        <v>373.1</v>
      </c>
      <c r="L32" s="20">
        <f t="shared" si="1"/>
        <v>922.99999999999989</v>
      </c>
      <c r="M32" s="20">
        <v>169</v>
      </c>
      <c r="N32" s="20">
        <v>395.2</v>
      </c>
      <c r="O32" s="20">
        <v>921.7</v>
      </c>
      <c r="P32" s="20">
        <v>0</v>
      </c>
      <c r="Q32" s="19">
        <f t="shared" si="2"/>
        <v>768.3</v>
      </c>
      <c r="R32" s="19">
        <f t="shared" si="3"/>
        <v>8984.3700000000008</v>
      </c>
      <c r="S32" s="19">
        <f t="shared" si="4"/>
        <v>2013.7</v>
      </c>
      <c r="T32" s="19">
        <f t="shared" si="5"/>
        <v>4015.6299999999992</v>
      </c>
      <c r="U32" s="22" t="s">
        <v>36</v>
      </c>
    </row>
    <row r="33" spans="1:21" ht="15.75" customHeight="1">
      <c r="A33" s="21">
        <v>18</v>
      </c>
      <c r="B33" s="21" t="s">
        <v>70</v>
      </c>
      <c r="C33" s="21" t="s">
        <v>71</v>
      </c>
      <c r="D33" s="21" t="s">
        <v>72</v>
      </c>
      <c r="E33" s="22" t="s">
        <v>29</v>
      </c>
      <c r="F33" s="19">
        <v>15000</v>
      </c>
      <c r="G33" s="20">
        <v>0</v>
      </c>
      <c r="H33" s="20">
        <v>25</v>
      </c>
      <c r="I33" s="20">
        <v>0</v>
      </c>
      <c r="J33" s="20">
        <f>700+300+584.19</f>
        <v>1584.19</v>
      </c>
      <c r="K33" s="20">
        <f t="shared" si="0"/>
        <v>430.5</v>
      </c>
      <c r="L33" s="20">
        <f t="shared" si="1"/>
        <v>1065</v>
      </c>
      <c r="M33" s="20">
        <v>195</v>
      </c>
      <c r="N33" s="20">
        <v>456</v>
      </c>
      <c r="O33" s="20">
        <v>1063.5</v>
      </c>
      <c r="P33" s="20">
        <v>0</v>
      </c>
      <c r="Q33" s="19">
        <f t="shared" si="2"/>
        <v>886.5</v>
      </c>
      <c r="R33" s="19">
        <f t="shared" si="3"/>
        <v>2495.69</v>
      </c>
      <c r="S33" s="19">
        <f t="shared" si="4"/>
        <v>2323.5</v>
      </c>
      <c r="T33" s="19">
        <f t="shared" si="5"/>
        <v>12504.31</v>
      </c>
      <c r="U33" s="22" t="s">
        <v>36</v>
      </c>
    </row>
    <row r="34" spans="1:21" ht="15.75" customHeight="1">
      <c r="A34" s="17">
        <v>19</v>
      </c>
      <c r="B34" s="21" t="s">
        <v>73</v>
      </c>
      <c r="C34" s="21" t="s">
        <v>71</v>
      </c>
      <c r="D34" s="21" t="s">
        <v>72</v>
      </c>
      <c r="E34" s="22" t="s">
        <v>29</v>
      </c>
      <c r="F34" s="19">
        <v>18000</v>
      </c>
      <c r="G34" s="20">
        <v>0</v>
      </c>
      <c r="H34" s="20">
        <v>25</v>
      </c>
      <c r="I34" s="20">
        <v>0</v>
      </c>
      <c r="J34" s="20">
        <f>1000+300+2725.76</f>
        <v>4025.76</v>
      </c>
      <c r="K34" s="20">
        <f t="shared" si="0"/>
        <v>516.6</v>
      </c>
      <c r="L34" s="20">
        <f t="shared" si="1"/>
        <v>1277.9999999999998</v>
      </c>
      <c r="M34" s="20">
        <v>234</v>
      </c>
      <c r="N34" s="20">
        <v>547.20000000000005</v>
      </c>
      <c r="O34" s="20">
        <v>1276.2</v>
      </c>
      <c r="P34" s="20">
        <v>0</v>
      </c>
      <c r="Q34" s="19">
        <f t="shared" si="2"/>
        <v>1063.8000000000002</v>
      </c>
      <c r="R34" s="19">
        <f t="shared" si="3"/>
        <v>5114.5600000000004</v>
      </c>
      <c r="S34" s="19">
        <f t="shared" si="4"/>
        <v>2788.2</v>
      </c>
      <c r="T34" s="19">
        <f t="shared" si="5"/>
        <v>12885.439999999999</v>
      </c>
      <c r="U34" s="22" t="s">
        <v>36</v>
      </c>
    </row>
    <row r="35" spans="1:21" ht="15.75" customHeight="1">
      <c r="A35" s="21">
        <v>20</v>
      </c>
      <c r="B35" s="21" t="s">
        <v>74</v>
      </c>
      <c r="C35" s="21" t="s">
        <v>68</v>
      </c>
      <c r="D35" s="21" t="s">
        <v>58</v>
      </c>
      <c r="E35" s="22" t="s">
        <v>29</v>
      </c>
      <c r="F35" s="19">
        <v>20000</v>
      </c>
      <c r="G35" s="20">
        <v>0</v>
      </c>
      <c r="H35" s="20">
        <v>25</v>
      </c>
      <c r="I35" s="20">
        <v>0</v>
      </c>
      <c r="J35" s="20">
        <f>4700+300</f>
        <v>5000</v>
      </c>
      <c r="K35" s="20">
        <f t="shared" si="0"/>
        <v>574</v>
      </c>
      <c r="L35" s="20">
        <f t="shared" si="1"/>
        <v>1419.9999999999998</v>
      </c>
      <c r="M35" s="20">
        <v>260</v>
      </c>
      <c r="N35" s="20">
        <v>608</v>
      </c>
      <c r="O35" s="20">
        <v>1418</v>
      </c>
      <c r="P35" s="20">
        <v>0</v>
      </c>
      <c r="Q35" s="19">
        <f t="shared" si="2"/>
        <v>1182</v>
      </c>
      <c r="R35" s="19">
        <f t="shared" si="3"/>
        <v>6207</v>
      </c>
      <c r="S35" s="19">
        <f t="shared" si="4"/>
        <v>3098</v>
      </c>
      <c r="T35" s="19">
        <f t="shared" si="5"/>
        <v>13793</v>
      </c>
      <c r="U35" s="22" t="s">
        <v>36</v>
      </c>
    </row>
    <row r="36" spans="1:21" ht="15.75" customHeight="1">
      <c r="A36" s="21">
        <v>21</v>
      </c>
      <c r="B36" s="21" t="s">
        <v>75</v>
      </c>
      <c r="C36" s="21" t="s">
        <v>60</v>
      </c>
      <c r="D36" s="21" t="s">
        <v>72</v>
      </c>
      <c r="E36" s="22" t="s">
        <v>29</v>
      </c>
      <c r="F36" s="19">
        <v>25000</v>
      </c>
      <c r="G36" s="20">
        <v>0</v>
      </c>
      <c r="H36" s="20">
        <v>25</v>
      </c>
      <c r="I36" s="20">
        <v>0</v>
      </c>
      <c r="J36" s="20">
        <v>0</v>
      </c>
      <c r="K36" s="20">
        <f t="shared" si="0"/>
        <v>717.5</v>
      </c>
      <c r="L36" s="20">
        <f t="shared" si="1"/>
        <v>1774.9999999999998</v>
      </c>
      <c r="M36" s="20">
        <v>325</v>
      </c>
      <c r="N36" s="20">
        <v>760</v>
      </c>
      <c r="O36" s="20">
        <v>1772.5000000000002</v>
      </c>
      <c r="P36" s="20">
        <v>0</v>
      </c>
      <c r="Q36" s="19">
        <f t="shared" si="2"/>
        <v>1477.5</v>
      </c>
      <c r="R36" s="19">
        <f t="shared" si="3"/>
        <v>1502.5</v>
      </c>
      <c r="S36" s="19">
        <f t="shared" si="4"/>
        <v>3872.5</v>
      </c>
      <c r="T36" s="19">
        <f t="shared" si="5"/>
        <v>23497.5</v>
      </c>
      <c r="U36" s="22" t="s">
        <v>30</v>
      </c>
    </row>
    <row r="37" spans="1:21" ht="15.75" customHeight="1">
      <c r="A37" s="17">
        <v>22</v>
      </c>
      <c r="B37" s="21" t="s">
        <v>76</v>
      </c>
      <c r="C37" s="21" t="s">
        <v>77</v>
      </c>
      <c r="D37" s="21" t="s">
        <v>78</v>
      </c>
      <c r="E37" s="22" t="s">
        <v>29</v>
      </c>
      <c r="F37" s="19">
        <v>11000</v>
      </c>
      <c r="G37" s="20">
        <v>0</v>
      </c>
      <c r="H37" s="20">
        <v>25</v>
      </c>
      <c r="I37" s="20">
        <v>0</v>
      </c>
      <c r="J37" s="20">
        <v>0</v>
      </c>
      <c r="K37" s="20">
        <f t="shared" si="0"/>
        <v>315.7</v>
      </c>
      <c r="L37" s="20">
        <f t="shared" si="1"/>
        <v>780.99999999999989</v>
      </c>
      <c r="M37" s="20">
        <v>143</v>
      </c>
      <c r="N37" s="20">
        <v>334.4</v>
      </c>
      <c r="O37" s="20">
        <v>779.90000000000009</v>
      </c>
      <c r="P37" s="20">
        <v>0</v>
      </c>
      <c r="Q37" s="19">
        <f t="shared" si="2"/>
        <v>650.09999999999991</v>
      </c>
      <c r="R37" s="19">
        <f t="shared" si="3"/>
        <v>675.09999999999991</v>
      </c>
      <c r="S37" s="19">
        <f t="shared" si="4"/>
        <v>1703.9</v>
      </c>
      <c r="T37" s="19">
        <f t="shared" si="5"/>
        <v>10324.9</v>
      </c>
      <c r="U37" s="22" t="s">
        <v>30</v>
      </c>
    </row>
    <row r="38" spans="1:21" ht="15.75" customHeight="1">
      <c r="A38" s="21">
        <v>23</v>
      </c>
      <c r="B38" s="21" t="s">
        <v>79</v>
      </c>
      <c r="C38" s="21" t="s">
        <v>80</v>
      </c>
      <c r="D38" s="21" t="s">
        <v>81</v>
      </c>
      <c r="E38" s="22" t="s">
        <v>29</v>
      </c>
      <c r="F38" s="19">
        <v>35438.239999999998</v>
      </c>
      <c r="G38" s="20">
        <v>0</v>
      </c>
      <c r="H38" s="20">
        <v>25</v>
      </c>
      <c r="I38" s="20">
        <v>0</v>
      </c>
      <c r="J38" s="20">
        <v>0</v>
      </c>
      <c r="K38" s="20">
        <f t="shared" si="0"/>
        <v>1017.0774879999999</v>
      </c>
      <c r="L38" s="20">
        <f t="shared" si="1"/>
        <v>2516.1150399999997</v>
      </c>
      <c r="M38" s="20">
        <v>460.7</v>
      </c>
      <c r="N38" s="20">
        <v>1077.322496</v>
      </c>
      <c r="O38" s="20">
        <v>2512.5712159999998</v>
      </c>
      <c r="P38" s="20">
        <v>0</v>
      </c>
      <c r="Q38" s="19">
        <f t="shared" si="2"/>
        <v>2094.3999839999997</v>
      </c>
      <c r="R38" s="19">
        <f t="shared" si="3"/>
        <v>2119.3999839999997</v>
      </c>
      <c r="S38" s="19">
        <f t="shared" si="4"/>
        <v>5489.3862559999998</v>
      </c>
      <c r="T38" s="19">
        <f t="shared" si="5"/>
        <v>33318.840016000002</v>
      </c>
      <c r="U38" s="22" t="s">
        <v>30</v>
      </c>
    </row>
    <row r="39" spans="1:21" ht="15.75" customHeight="1">
      <c r="A39" s="21">
        <v>24</v>
      </c>
      <c r="B39" s="21" t="s">
        <v>82</v>
      </c>
      <c r="C39" s="21" t="s">
        <v>71</v>
      </c>
      <c r="D39" s="21" t="s">
        <v>72</v>
      </c>
      <c r="E39" s="22" t="s">
        <v>29</v>
      </c>
      <c r="F39" s="19">
        <v>15000</v>
      </c>
      <c r="G39" s="20">
        <v>0</v>
      </c>
      <c r="H39" s="20">
        <v>25</v>
      </c>
      <c r="I39" s="20">
        <v>0</v>
      </c>
      <c r="J39" s="20">
        <v>0</v>
      </c>
      <c r="K39" s="20">
        <f t="shared" si="0"/>
        <v>430.5</v>
      </c>
      <c r="L39" s="20">
        <f t="shared" si="1"/>
        <v>1065</v>
      </c>
      <c r="M39" s="20">
        <v>195</v>
      </c>
      <c r="N39" s="20">
        <v>456</v>
      </c>
      <c r="O39" s="20">
        <v>1063.5</v>
      </c>
      <c r="P39" s="20">
        <v>0</v>
      </c>
      <c r="Q39" s="19">
        <f t="shared" si="2"/>
        <v>886.5</v>
      </c>
      <c r="R39" s="19">
        <f t="shared" si="3"/>
        <v>911.5</v>
      </c>
      <c r="S39" s="19">
        <f t="shared" si="4"/>
        <v>2323.5</v>
      </c>
      <c r="T39" s="19">
        <f t="shared" si="5"/>
        <v>14088.5</v>
      </c>
      <c r="U39" s="22" t="s">
        <v>36</v>
      </c>
    </row>
    <row r="40" spans="1:21" ht="15.75" customHeight="1">
      <c r="A40" s="17">
        <v>25</v>
      </c>
      <c r="B40" s="21" t="s">
        <v>83</v>
      </c>
      <c r="C40" s="21" t="s">
        <v>68</v>
      </c>
      <c r="D40" s="21" t="s">
        <v>72</v>
      </c>
      <c r="E40" s="22" t="s">
        <v>29</v>
      </c>
      <c r="F40" s="19">
        <v>15000</v>
      </c>
      <c r="G40" s="20">
        <v>0</v>
      </c>
      <c r="H40" s="20">
        <v>25</v>
      </c>
      <c r="I40" s="20">
        <v>0</v>
      </c>
      <c r="J40" s="20">
        <f>700+300+1882.11</f>
        <v>2882.1099999999997</v>
      </c>
      <c r="K40" s="20">
        <f t="shared" si="0"/>
        <v>430.5</v>
      </c>
      <c r="L40" s="20">
        <f t="shared" si="1"/>
        <v>1065</v>
      </c>
      <c r="M40" s="20">
        <v>195</v>
      </c>
      <c r="N40" s="20">
        <v>456</v>
      </c>
      <c r="O40" s="20">
        <v>1063.5</v>
      </c>
      <c r="P40" s="20">
        <v>0</v>
      </c>
      <c r="Q40" s="19">
        <f t="shared" si="2"/>
        <v>886.5</v>
      </c>
      <c r="R40" s="19">
        <f t="shared" si="3"/>
        <v>3793.6099999999997</v>
      </c>
      <c r="S40" s="19">
        <f t="shared" si="4"/>
        <v>2323.5</v>
      </c>
      <c r="T40" s="19">
        <f t="shared" si="5"/>
        <v>11206.39</v>
      </c>
      <c r="U40" s="22" t="s">
        <v>36</v>
      </c>
    </row>
    <row r="41" spans="1:21" ht="15.75" customHeight="1">
      <c r="A41" s="21">
        <v>26</v>
      </c>
      <c r="B41" s="21" t="s">
        <v>84</v>
      </c>
      <c r="C41" s="21" t="s">
        <v>68</v>
      </c>
      <c r="D41" s="17" t="s">
        <v>58</v>
      </c>
      <c r="E41" s="22" t="s">
        <v>29</v>
      </c>
      <c r="F41" s="19">
        <v>10000</v>
      </c>
      <c r="G41" s="20">
        <v>0</v>
      </c>
      <c r="H41" s="20">
        <v>25</v>
      </c>
      <c r="I41" s="20">
        <v>0</v>
      </c>
      <c r="J41" s="20">
        <f>300+300+3533.32</f>
        <v>4133.32</v>
      </c>
      <c r="K41" s="20">
        <f t="shared" si="0"/>
        <v>287</v>
      </c>
      <c r="L41" s="20">
        <f t="shared" si="1"/>
        <v>709.99999999999989</v>
      </c>
      <c r="M41" s="20">
        <v>130</v>
      </c>
      <c r="N41" s="20">
        <v>304</v>
      </c>
      <c r="O41" s="20">
        <v>709</v>
      </c>
      <c r="P41" s="20">
        <v>0</v>
      </c>
      <c r="Q41" s="19">
        <f t="shared" si="2"/>
        <v>591</v>
      </c>
      <c r="R41" s="19">
        <f t="shared" si="3"/>
        <v>4749.32</v>
      </c>
      <c r="S41" s="19">
        <f t="shared" si="4"/>
        <v>1549</v>
      </c>
      <c r="T41" s="19">
        <f t="shared" si="5"/>
        <v>5250.68</v>
      </c>
      <c r="U41" s="22" t="s">
        <v>36</v>
      </c>
    </row>
    <row r="42" spans="1:21" ht="15.75" customHeight="1">
      <c r="A42" s="21">
        <v>27</v>
      </c>
      <c r="B42" s="21" t="s">
        <v>85</v>
      </c>
      <c r="C42" s="21" t="s">
        <v>48</v>
      </c>
      <c r="D42" s="21" t="s">
        <v>86</v>
      </c>
      <c r="E42" s="22" t="s">
        <v>29</v>
      </c>
      <c r="F42" s="19">
        <v>20000</v>
      </c>
      <c r="G42" s="20">
        <v>0</v>
      </c>
      <c r="H42" s="20">
        <v>25</v>
      </c>
      <c r="I42" s="20">
        <v>0</v>
      </c>
      <c r="J42" s="20">
        <v>0</v>
      </c>
      <c r="K42" s="20">
        <f t="shared" si="0"/>
        <v>574</v>
      </c>
      <c r="L42" s="20">
        <f t="shared" si="1"/>
        <v>1419.9999999999998</v>
      </c>
      <c r="M42" s="20">
        <v>260</v>
      </c>
      <c r="N42" s="20">
        <v>608</v>
      </c>
      <c r="O42" s="20">
        <v>1418</v>
      </c>
      <c r="P42" s="20">
        <v>0</v>
      </c>
      <c r="Q42" s="19">
        <f t="shared" si="2"/>
        <v>1182</v>
      </c>
      <c r="R42" s="19">
        <f t="shared" si="3"/>
        <v>1207</v>
      </c>
      <c r="S42" s="19">
        <f t="shared" si="4"/>
        <v>3098</v>
      </c>
      <c r="T42" s="19">
        <f t="shared" si="5"/>
        <v>18793</v>
      </c>
      <c r="U42" s="22" t="s">
        <v>36</v>
      </c>
    </row>
    <row r="43" spans="1:21" ht="15.75" customHeight="1">
      <c r="A43" s="17">
        <v>28</v>
      </c>
      <c r="B43" s="21" t="s">
        <v>87</v>
      </c>
      <c r="C43" s="21" t="s">
        <v>88</v>
      </c>
      <c r="D43" s="21" t="s">
        <v>61</v>
      </c>
      <c r="E43" s="22" t="s">
        <v>29</v>
      </c>
      <c r="F43" s="19">
        <v>15000</v>
      </c>
      <c r="G43" s="20">
        <v>0</v>
      </c>
      <c r="H43" s="20">
        <v>25</v>
      </c>
      <c r="I43" s="20">
        <v>0</v>
      </c>
      <c r="J43" s="20">
        <v>0</v>
      </c>
      <c r="K43" s="20">
        <f t="shared" si="0"/>
        <v>430.5</v>
      </c>
      <c r="L43" s="20">
        <f t="shared" si="1"/>
        <v>1065</v>
      </c>
      <c r="M43" s="20">
        <v>195</v>
      </c>
      <c r="N43" s="20">
        <v>456</v>
      </c>
      <c r="O43" s="20">
        <v>1063.5</v>
      </c>
      <c r="P43" s="20">
        <v>0</v>
      </c>
      <c r="Q43" s="19">
        <f t="shared" si="2"/>
        <v>886.5</v>
      </c>
      <c r="R43" s="19">
        <f t="shared" si="3"/>
        <v>911.5</v>
      </c>
      <c r="S43" s="19">
        <f t="shared" si="4"/>
        <v>2323.5</v>
      </c>
      <c r="T43" s="19">
        <f t="shared" si="5"/>
        <v>14088.5</v>
      </c>
      <c r="U43" s="22" t="s">
        <v>36</v>
      </c>
    </row>
    <row r="44" spans="1:21" ht="15.75" customHeight="1">
      <c r="A44" s="21">
        <v>29</v>
      </c>
      <c r="B44" s="21" t="s">
        <v>89</v>
      </c>
      <c r="C44" s="21" t="s">
        <v>77</v>
      </c>
      <c r="D44" s="21" t="s">
        <v>61</v>
      </c>
      <c r="E44" s="22" t="s">
        <v>29</v>
      </c>
      <c r="F44" s="19">
        <v>10000</v>
      </c>
      <c r="G44" s="20">
        <v>0</v>
      </c>
      <c r="H44" s="20">
        <v>25</v>
      </c>
      <c r="I44" s="20">
        <v>0</v>
      </c>
      <c r="J44" s="20">
        <v>0</v>
      </c>
      <c r="K44" s="20">
        <f t="shared" si="0"/>
        <v>287</v>
      </c>
      <c r="L44" s="20">
        <f t="shared" si="1"/>
        <v>709.99999999999989</v>
      </c>
      <c r="M44" s="20">
        <v>130</v>
      </c>
      <c r="N44" s="20">
        <v>304</v>
      </c>
      <c r="O44" s="20">
        <v>709</v>
      </c>
      <c r="P44" s="20">
        <v>0</v>
      </c>
      <c r="Q44" s="19">
        <f t="shared" si="2"/>
        <v>591</v>
      </c>
      <c r="R44" s="19">
        <f t="shared" si="3"/>
        <v>616</v>
      </c>
      <c r="S44" s="19">
        <f t="shared" si="4"/>
        <v>1549</v>
      </c>
      <c r="T44" s="19">
        <f t="shared" si="5"/>
        <v>9384</v>
      </c>
      <c r="U44" s="22" t="s">
        <v>30</v>
      </c>
    </row>
    <row r="45" spans="1:21" ht="15.75" customHeight="1">
      <c r="A45" s="21">
        <v>30</v>
      </c>
      <c r="B45" s="21" t="s">
        <v>90</v>
      </c>
      <c r="C45" s="21" t="s">
        <v>68</v>
      </c>
      <c r="D45" s="21" t="s">
        <v>41</v>
      </c>
      <c r="E45" s="22" t="s">
        <v>29</v>
      </c>
      <c r="F45" s="19">
        <v>25000</v>
      </c>
      <c r="G45" s="20">
        <v>0</v>
      </c>
      <c r="H45" s="20">
        <v>25</v>
      </c>
      <c r="I45" s="20">
        <v>0</v>
      </c>
      <c r="J45" s="20">
        <f>500+1000+2811.18</f>
        <v>4311.18</v>
      </c>
      <c r="K45" s="20">
        <f t="shared" si="0"/>
        <v>717.5</v>
      </c>
      <c r="L45" s="20">
        <f t="shared" si="1"/>
        <v>1774.9999999999998</v>
      </c>
      <c r="M45" s="20">
        <v>325</v>
      </c>
      <c r="N45" s="20">
        <v>760</v>
      </c>
      <c r="O45" s="20">
        <v>1772.5000000000002</v>
      </c>
      <c r="P45" s="20">
        <v>0</v>
      </c>
      <c r="Q45" s="19">
        <f t="shared" si="2"/>
        <v>1477.5</v>
      </c>
      <c r="R45" s="19">
        <f t="shared" si="3"/>
        <v>5813.68</v>
      </c>
      <c r="S45" s="19">
        <f t="shared" si="4"/>
        <v>3872.5</v>
      </c>
      <c r="T45" s="19">
        <f t="shared" si="5"/>
        <v>19186.32</v>
      </c>
      <c r="U45" s="22" t="s">
        <v>30</v>
      </c>
    </row>
    <row r="46" spans="1:21" ht="15.75" customHeight="1">
      <c r="A46" s="17">
        <v>31</v>
      </c>
      <c r="B46" s="21" t="s">
        <v>91</v>
      </c>
      <c r="C46" s="21" t="s">
        <v>92</v>
      </c>
      <c r="D46" s="21" t="s">
        <v>61</v>
      </c>
      <c r="E46" s="22" t="s">
        <v>29</v>
      </c>
      <c r="F46" s="19">
        <v>65000</v>
      </c>
      <c r="G46" s="20">
        <v>4427.58</v>
      </c>
      <c r="H46" s="20">
        <v>25</v>
      </c>
      <c r="I46" s="20">
        <v>0</v>
      </c>
      <c r="J46" s="20">
        <v>0</v>
      </c>
      <c r="K46" s="20">
        <f t="shared" si="0"/>
        <v>1865.5</v>
      </c>
      <c r="L46" s="20">
        <f t="shared" si="1"/>
        <v>4615</v>
      </c>
      <c r="M46" s="20">
        <v>845</v>
      </c>
      <c r="N46" s="20">
        <v>1976</v>
      </c>
      <c r="O46" s="20">
        <v>4608.5</v>
      </c>
      <c r="P46" s="20">
        <v>0</v>
      </c>
      <c r="Q46" s="19">
        <f t="shared" si="2"/>
        <v>3841.5</v>
      </c>
      <c r="R46" s="19">
        <f t="shared" si="3"/>
        <v>8294.08</v>
      </c>
      <c r="S46" s="19">
        <f t="shared" si="4"/>
        <v>10068.5</v>
      </c>
      <c r="T46" s="19">
        <f t="shared" si="5"/>
        <v>56705.919999999998</v>
      </c>
      <c r="U46" s="22" t="s">
        <v>30</v>
      </c>
    </row>
    <row r="47" spans="1:21" ht="15.75" customHeight="1">
      <c r="A47" s="21">
        <v>32</v>
      </c>
      <c r="B47" s="21" t="s">
        <v>93</v>
      </c>
      <c r="C47" s="21" t="s">
        <v>94</v>
      </c>
      <c r="D47" s="21" t="s">
        <v>55</v>
      </c>
      <c r="E47" s="22" t="s">
        <v>29</v>
      </c>
      <c r="F47" s="19">
        <v>25000</v>
      </c>
      <c r="G47" s="20">
        <v>0</v>
      </c>
      <c r="H47" s="20">
        <v>25</v>
      </c>
      <c r="I47" s="20">
        <v>0</v>
      </c>
      <c r="J47" s="20">
        <f>1000+1000</f>
        <v>2000</v>
      </c>
      <c r="K47" s="20">
        <f t="shared" si="0"/>
        <v>717.5</v>
      </c>
      <c r="L47" s="20">
        <f t="shared" si="1"/>
        <v>1774.9999999999998</v>
      </c>
      <c r="M47" s="20">
        <v>325</v>
      </c>
      <c r="N47" s="20">
        <v>760</v>
      </c>
      <c r="O47" s="20">
        <v>1772.5000000000002</v>
      </c>
      <c r="P47" s="20">
        <v>0</v>
      </c>
      <c r="Q47" s="19">
        <f t="shared" si="2"/>
        <v>1477.5</v>
      </c>
      <c r="R47" s="19">
        <f t="shared" si="3"/>
        <v>3502.5</v>
      </c>
      <c r="S47" s="19">
        <f t="shared" si="4"/>
        <v>3872.5</v>
      </c>
      <c r="T47" s="19">
        <f t="shared" si="5"/>
        <v>21497.5</v>
      </c>
      <c r="U47" s="22" t="s">
        <v>30</v>
      </c>
    </row>
    <row r="48" spans="1:21" ht="15.75" customHeight="1">
      <c r="A48" s="21">
        <v>33</v>
      </c>
      <c r="B48" s="21" t="s">
        <v>95</v>
      </c>
      <c r="C48" s="21" t="s">
        <v>96</v>
      </c>
      <c r="D48" s="21" t="s">
        <v>49</v>
      </c>
      <c r="E48" s="22" t="s">
        <v>29</v>
      </c>
      <c r="F48" s="19">
        <v>13000</v>
      </c>
      <c r="G48" s="20">
        <v>0</v>
      </c>
      <c r="H48" s="20">
        <v>25</v>
      </c>
      <c r="I48" s="20">
        <v>0</v>
      </c>
      <c r="J48" s="20">
        <f>500+300+1748.77</f>
        <v>2548.77</v>
      </c>
      <c r="K48" s="20">
        <f t="shared" si="0"/>
        <v>373.1</v>
      </c>
      <c r="L48" s="20">
        <f t="shared" si="1"/>
        <v>922.99999999999989</v>
      </c>
      <c r="M48" s="20">
        <v>169</v>
      </c>
      <c r="N48" s="20">
        <v>395.2</v>
      </c>
      <c r="O48" s="20">
        <v>921.7</v>
      </c>
      <c r="P48" s="20">
        <v>0</v>
      </c>
      <c r="Q48" s="19">
        <f t="shared" si="2"/>
        <v>768.3</v>
      </c>
      <c r="R48" s="19">
        <f t="shared" si="3"/>
        <v>3342.0699999999997</v>
      </c>
      <c r="S48" s="19">
        <f t="shared" si="4"/>
        <v>2013.7</v>
      </c>
      <c r="T48" s="19">
        <f t="shared" si="5"/>
        <v>9657.93</v>
      </c>
      <c r="U48" s="22" t="s">
        <v>30</v>
      </c>
    </row>
    <row r="49" spans="1:21" ht="15.75" customHeight="1">
      <c r="A49" s="17">
        <v>34</v>
      </c>
      <c r="B49" s="21" t="s">
        <v>97</v>
      </c>
      <c r="C49" s="21" t="s">
        <v>63</v>
      </c>
      <c r="D49" s="21" t="s">
        <v>98</v>
      </c>
      <c r="E49" s="22" t="s">
        <v>29</v>
      </c>
      <c r="F49" s="19">
        <v>25000</v>
      </c>
      <c r="G49" s="20">
        <v>0</v>
      </c>
      <c r="H49" s="20">
        <v>25</v>
      </c>
      <c r="I49" s="20">
        <v>0</v>
      </c>
      <c r="J49" s="20">
        <f>1500+300</f>
        <v>1800</v>
      </c>
      <c r="K49" s="20">
        <f t="shared" si="0"/>
        <v>717.5</v>
      </c>
      <c r="L49" s="20">
        <f t="shared" si="1"/>
        <v>1774.9999999999998</v>
      </c>
      <c r="M49" s="20">
        <v>325</v>
      </c>
      <c r="N49" s="20">
        <v>760</v>
      </c>
      <c r="O49" s="20">
        <v>1772.5000000000002</v>
      </c>
      <c r="P49" s="20">
        <v>0</v>
      </c>
      <c r="Q49" s="19">
        <f t="shared" si="2"/>
        <v>1477.5</v>
      </c>
      <c r="R49" s="19">
        <f t="shared" si="3"/>
        <v>3302.5</v>
      </c>
      <c r="S49" s="19">
        <f t="shared" si="4"/>
        <v>3872.5</v>
      </c>
      <c r="T49" s="19">
        <f t="shared" si="5"/>
        <v>21697.5</v>
      </c>
      <c r="U49" s="22" t="s">
        <v>30</v>
      </c>
    </row>
    <row r="50" spans="1:21" ht="15.75" customHeight="1">
      <c r="A50" s="21">
        <v>35</v>
      </c>
      <c r="B50" s="21" t="s">
        <v>99</v>
      </c>
      <c r="C50" s="21" t="s">
        <v>63</v>
      </c>
      <c r="D50" s="21" t="s">
        <v>98</v>
      </c>
      <c r="E50" s="22" t="s">
        <v>29</v>
      </c>
      <c r="F50" s="19">
        <v>15000</v>
      </c>
      <c r="G50" s="20">
        <v>0</v>
      </c>
      <c r="H50" s="20">
        <v>25</v>
      </c>
      <c r="I50" s="20">
        <v>0</v>
      </c>
      <c r="J50" s="20">
        <v>0</v>
      </c>
      <c r="K50" s="20">
        <f t="shared" si="0"/>
        <v>430.5</v>
      </c>
      <c r="L50" s="20">
        <f t="shared" si="1"/>
        <v>1065</v>
      </c>
      <c r="M50" s="20">
        <v>195</v>
      </c>
      <c r="N50" s="20">
        <v>456</v>
      </c>
      <c r="O50" s="20">
        <v>1063.5</v>
      </c>
      <c r="P50" s="20">
        <v>0</v>
      </c>
      <c r="Q50" s="19">
        <f t="shared" si="2"/>
        <v>886.5</v>
      </c>
      <c r="R50" s="19">
        <f t="shared" si="3"/>
        <v>911.5</v>
      </c>
      <c r="S50" s="19">
        <f t="shared" si="4"/>
        <v>2323.5</v>
      </c>
      <c r="T50" s="19">
        <f t="shared" si="5"/>
        <v>14088.5</v>
      </c>
      <c r="U50" s="22" t="s">
        <v>30</v>
      </c>
    </row>
    <row r="51" spans="1:21" ht="15.75" customHeight="1">
      <c r="A51" s="21">
        <v>36</v>
      </c>
      <c r="B51" s="21" t="s">
        <v>100</v>
      </c>
      <c r="C51" s="21" t="s">
        <v>77</v>
      </c>
      <c r="D51" s="17" t="s">
        <v>78</v>
      </c>
      <c r="E51" s="22" t="s">
        <v>29</v>
      </c>
      <c r="F51" s="19">
        <v>10000</v>
      </c>
      <c r="G51" s="20">
        <v>0</v>
      </c>
      <c r="H51" s="20">
        <v>25</v>
      </c>
      <c r="I51" s="20">
        <v>0</v>
      </c>
      <c r="J51" s="20">
        <v>0</v>
      </c>
      <c r="K51" s="20">
        <f t="shared" si="0"/>
        <v>287</v>
      </c>
      <c r="L51" s="20">
        <f t="shared" si="1"/>
        <v>709.99999999999989</v>
      </c>
      <c r="M51" s="20">
        <v>130</v>
      </c>
      <c r="N51" s="20">
        <v>304</v>
      </c>
      <c r="O51" s="20">
        <v>709</v>
      </c>
      <c r="P51" s="20">
        <v>0</v>
      </c>
      <c r="Q51" s="19">
        <f t="shared" si="2"/>
        <v>591</v>
      </c>
      <c r="R51" s="19">
        <f t="shared" si="3"/>
        <v>616</v>
      </c>
      <c r="S51" s="19">
        <f t="shared" si="4"/>
        <v>1549</v>
      </c>
      <c r="T51" s="19">
        <f t="shared" si="5"/>
        <v>9384</v>
      </c>
      <c r="U51" s="22" t="s">
        <v>30</v>
      </c>
    </row>
    <row r="52" spans="1:21" ht="15.75" customHeight="1">
      <c r="A52" s="17">
        <v>37</v>
      </c>
      <c r="B52" s="21" t="s">
        <v>101</v>
      </c>
      <c r="C52" s="21" t="s">
        <v>66</v>
      </c>
      <c r="D52" s="17" t="s">
        <v>61</v>
      </c>
      <c r="E52" s="22" t="s">
        <v>29</v>
      </c>
      <c r="F52" s="19">
        <v>20000</v>
      </c>
      <c r="G52" s="20">
        <v>0</v>
      </c>
      <c r="H52" s="20">
        <v>25</v>
      </c>
      <c r="I52" s="20">
        <v>0</v>
      </c>
      <c r="J52" s="20">
        <f>300+300+1594.86</f>
        <v>2194.8599999999997</v>
      </c>
      <c r="K52" s="20">
        <f t="shared" si="0"/>
        <v>574</v>
      </c>
      <c r="L52" s="20">
        <f t="shared" si="1"/>
        <v>1419.9999999999998</v>
      </c>
      <c r="M52" s="20">
        <v>260</v>
      </c>
      <c r="N52" s="20">
        <v>608</v>
      </c>
      <c r="O52" s="20">
        <v>1418</v>
      </c>
      <c r="P52" s="20">
        <v>0</v>
      </c>
      <c r="Q52" s="19">
        <f t="shared" si="2"/>
        <v>1182</v>
      </c>
      <c r="R52" s="19">
        <f t="shared" si="3"/>
        <v>3401.8599999999997</v>
      </c>
      <c r="S52" s="19">
        <f t="shared" si="4"/>
        <v>3098</v>
      </c>
      <c r="T52" s="19">
        <f t="shared" si="5"/>
        <v>16598.14</v>
      </c>
      <c r="U52" s="22" t="s">
        <v>30</v>
      </c>
    </row>
    <row r="53" spans="1:21" ht="15.75" customHeight="1">
      <c r="A53" s="21">
        <v>38</v>
      </c>
      <c r="B53" s="21" t="s">
        <v>102</v>
      </c>
      <c r="C53" s="21" t="s">
        <v>77</v>
      </c>
      <c r="D53" s="17" t="s">
        <v>78</v>
      </c>
      <c r="E53" s="22" t="s">
        <v>29</v>
      </c>
      <c r="F53" s="19">
        <v>10000</v>
      </c>
      <c r="G53" s="20">
        <v>0</v>
      </c>
      <c r="H53" s="20">
        <v>25</v>
      </c>
      <c r="I53" s="20">
        <v>0</v>
      </c>
      <c r="J53" s="20">
        <v>0</v>
      </c>
      <c r="K53" s="20">
        <f t="shared" si="0"/>
        <v>287</v>
      </c>
      <c r="L53" s="20">
        <f t="shared" si="1"/>
        <v>709.99999999999989</v>
      </c>
      <c r="M53" s="20">
        <v>130</v>
      </c>
      <c r="N53" s="20">
        <v>304</v>
      </c>
      <c r="O53" s="20">
        <v>709</v>
      </c>
      <c r="P53" s="20">
        <v>0</v>
      </c>
      <c r="Q53" s="19">
        <f t="shared" si="2"/>
        <v>591</v>
      </c>
      <c r="R53" s="19">
        <f t="shared" si="3"/>
        <v>616</v>
      </c>
      <c r="S53" s="19">
        <f t="shared" si="4"/>
        <v>1549</v>
      </c>
      <c r="T53" s="19">
        <f t="shared" si="5"/>
        <v>9384</v>
      </c>
      <c r="U53" s="22" t="s">
        <v>30</v>
      </c>
    </row>
    <row r="54" spans="1:21" ht="15.75" customHeight="1">
      <c r="A54" s="21">
        <v>39</v>
      </c>
      <c r="B54" s="21" t="s">
        <v>103</v>
      </c>
      <c r="C54" s="21" t="s">
        <v>68</v>
      </c>
      <c r="D54" s="17" t="s">
        <v>81</v>
      </c>
      <c r="E54" s="22" t="s">
        <v>29</v>
      </c>
      <c r="F54" s="19">
        <v>30000</v>
      </c>
      <c r="G54" s="20">
        <v>0</v>
      </c>
      <c r="H54" s="20">
        <v>25</v>
      </c>
      <c r="I54" s="20">
        <v>0</v>
      </c>
      <c r="J54" s="20">
        <f>1000+500+3290.92</f>
        <v>4790.92</v>
      </c>
      <c r="K54" s="20">
        <f t="shared" si="0"/>
        <v>861</v>
      </c>
      <c r="L54" s="20">
        <f t="shared" si="1"/>
        <v>2130</v>
      </c>
      <c r="M54" s="20">
        <v>390</v>
      </c>
      <c r="N54" s="20">
        <v>912</v>
      </c>
      <c r="O54" s="20">
        <v>2127</v>
      </c>
      <c r="P54" s="20">
        <v>0</v>
      </c>
      <c r="Q54" s="19">
        <f t="shared" si="2"/>
        <v>1773</v>
      </c>
      <c r="R54" s="19">
        <f t="shared" si="3"/>
        <v>6588.92</v>
      </c>
      <c r="S54" s="19">
        <f t="shared" si="4"/>
        <v>4647</v>
      </c>
      <c r="T54" s="19">
        <f t="shared" si="5"/>
        <v>23411.08</v>
      </c>
      <c r="U54" s="22" t="s">
        <v>36</v>
      </c>
    </row>
    <row r="55" spans="1:21" ht="15.75" customHeight="1">
      <c r="A55" s="17">
        <v>40</v>
      </c>
      <c r="B55" s="21" t="s">
        <v>104</v>
      </c>
      <c r="C55" s="21" t="s">
        <v>68</v>
      </c>
      <c r="D55" s="17" t="s">
        <v>86</v>
      </c>
      <c r="E55" s="22" t="s">
        <v>29</v>
      </c>
      <c r="F55" s="19">
        <v>20000</v>
      </c>
      <c r="G55" s="20">
        <v>0</v>
      </c>
      <c r="H55" s="20">
        <v>25</v>
      </c>
      <c r="I55" s="20">
        <v>0</v>
      </c>
      <c r="J55" s="20">
        <f>400+300+3592.36</f>
        <v>4292.3600000000006</v>
      </c>
      <c r="K55" s="20">
        <f t="shared" si="0"/>
        <v>574</v>
      </c>
      <c r="L55" s="20">
        <f t="shared" si="1"/>
        <v>1419.9999999999998</v>
      </c>
      <c r="M55" s="20">
        <v>260</v>
      </c>
      <c r="N55" s="20">
        <v>608</v>
      </c>
      <c r="O55" s="20">
        <v>1418</v>
      </c>
      <c r="P55" s="20">
        <v>0</v>
      </c>
      <c r="Q55" s="19">
        <f t="shared" si="2"/>
        <v>1182</v>
      </c>
      <c r="R55" s="19">
        <f t="shared" si="3"/>
        <v>5499.3600000000006</v>
      </c>
      <c r="S55" s="19">
        <f t="shared" si="4"/>
        <v>3098</v>
      </c>
      <c r="T55" s="19">
        <f t="shared" si="5"/>
        <v>14500.64</v>
      </c>
      <c r="U55" s="22" t="s">
        <v>36</v>
      </c>
    </row>
    <row r="56" spans="1:21" ht="15.75" customHeight="1">
      <c r="A56" s="21">
        <v>41</v>
      </c>
      <c r="B56" s="21" t="s">
        <v>741</v>
      </c>
      <c r="C56" s="21" t="s">
        <v>77</v>
      </c>
      <c r="D56" s="21" t="s">
        <v>61</v>
      </c>
      <c r="E56" s="22" t="s">
        <v>29</v>
      </c>
      <c r="F56" s="19">
        <v>15000</v>
      </c>
      <c r="G56" s="20">
        <v>0</v>
      </c>
      <c r="H56" s="20">
        <v>25</v>
      </c>
      <c r="I56" s="20">
        <v>0</v>
      </c>
      <c r="J56" s="20">
        <v>0</v>
      </c>
      <c r="K56" s="20">
        <f t="shared" ref="K56" si="6">F56*2.87%</f>
        <v>430.5</v>
      </c>
      <c r="L56" s="20">
        <f t="shared" ref="L56" si="7">F56*7.1%</f>
        <v>1065</v>
      </c>
      <c r="M56" s="20">
        <v>195</v>
      </c>
      <c r="N56" s="20">
        <v>456</v>
      </c>
      <c r="O56" s="20">
        <v>1063.5</v>
      </c>
      <c r="P56" s="20">
        <v>0</v>
      </c>
      <c r="Q56" s="19">
        <f t="shared" ref="Q56" si="8">K56+N56</f>
        <v>886.5</v>
      </c>
      <c r="R56" s="19">
        <f t="shared" ref="R56" si="9">G56+H56+I56+J56+K56+N56+P56</f>
        <v>911.5</v>
      </c>
      <c r="S56" s="19">
        <f t="shared" ref="S56" si="10">L56+M56+O56</f>
        <v>2323.5</v>
      </c>
      <c r="T56" s="19">
        <f t="shared" ref="T56" si="11">F56-R56</f>
        <v>14088.5</v>
      </c>
      <c r="U56" s="22" t="s">
        <v>30</v>
      </c>
    </row>
    <row r="57" spans="1:21" ht="15.75" customHeight="1">
      <c r="A57" s="21">
        <v>42</v>
      </c>
      <c r="B57" s="21" t="s">
        <v>105</v>
      </c>
      <c r="C57" s="21" t="s">
        <v>77</v>
      </c>
      <c r="D57" s="21" t="s">
        <v>61</v>
      </c>
      <c r="E57" s="22" t="s">
        <v>29</v>
      </c>
      <c r="F57" s="19">
        <v>15000</v>
      </c>
      <c r="G57" s="20">
        <v>0</v>
      </c>
      <c r="H57" s="20">
        <v>25</v>
      </c>
      <c r="I57" s="20">
        <v>0</v>
      </c>
      <c r="J57" s="20">
        <v>0</v>
      </c>
      <c r="K57" s="20">
        <f t="shared" si="0"/>
        <v>430.5</v>
      </c>
      <c r="L57" s="20">
        <f t="shared" si="1"/>
        <v>1065</v>
      </c>
      <c r="M57" s="20">
        <v>195</v>
      </c>
      <c r="N57" s="20">
        <v>456</v>
      </c>
      <c r="O57" s="20">
        <v>1063.5</v>
      </c>
      <c r="P57" s="20">
        <v>0</v>
      </c>
      <c r="Q57" s="19">
        <f t="shared" si="2"/>
        <v>886.5</v>
      </c>
      <c r="R57" s="19">
        <f t="shared" si="3"/>
        <v>911.5</v>
      </c>
      <c r="S57" s="19">
        <f t="shared" si="4"/>
        <v>2323.5</v>
      </c>
      <c r="T57" s="19">
        <f t="shared" si="5"/>
        <v>14088.5</v>
      </c>
      <c r="U57" s="22" t="s">
        <v>30</v>
      </c>
    </row>
    <row r="58" spans="1:21" ht="15.75" customHeight="1">
      <c r="A58" s="17">
        <v>43</v>
      </c>
      <c r="B58" s="21" t="s">
        <v>106</v>
      </c>
      <c r="C58" s="21" t="s">
        <v>68</v>
      </c>
      <c r="D58" s="17" t="s">
        <v>72</v>
      </c>
      <c r="E58" s="22" t="s">
        <v>29</v>
      </c>
      <c r="F58" s="19">
        <v>12000</v>
      </c>
      <c r="G58" s="20">
        <v>0</v>
      </c>
      <c r="H58" s="20">
        <v>25</v>
      </c>
      <c r="I58" s="20">
        <v>0</v>
      </c>
      <c r="J58" s="20">
        <v>0</v>
      </c>
      <c r="K58" s="20">
        <f t="shared" si="0"/>
        <v>344.4</v>
      </c>
      <c r="L58" s="20">
        <f t="shared" si="1"/>
        <v>851.99999999999989</v>
      </c>
      <c r="M58" s="20">
        <v>156</v>
      </c>
      <c r="N58" s="20">
        <v>364.8</v>
      </c>
      <c r="O58" s="20">
        <v>850.80000000000007</v>
      </c>
      <c r="P58" s="20">
        <v>0</v>
      </c>
      <c r="Q58" s="19">
        <f t="shared" si="2"/>
        <v>709.2</v>
      </c>
      <c r="R58" s="19">
        <f t="shared" si="3"/>
        <v>734.2</v>
      </c>
      <c r="S58" s="19">
        <f t="shared" si="4"/>
        <v>1858.8</v>
      </c>
      <c r="T58" s="19">
        <f t="shared" si="5"/>
        <v>11265.8</v>
      </c>
      <c r="U58" s="22" t="s">
        <v>36</v>
      </c>
    </row>
    <row r="59" spans="1:21" ht="15.75" customHeight="1">
      <c r="A59" s="21">
        <v>44</v>
      </c>
      <c r="B59" s="21" t="s">
        <v>107</v>
      </c>
      <c r="C59" s="21" t="s">
        <v>60</v>
      </c>
      <c r="D59" s="17" t="s">
        <v>61</v>
      </c>
      <c r="E59" s="22" t="s">
        <v>29</v>
      </c>
      <c r="F59" s="19">
        <v>25000</v>
      </c>
      <c r="G59" s="20">
        <v>0</v>
      </c>
      <c r="H59" s="20">
        <v>25</v>
      </c>
      <c r="I59" s="20">
        <v>0</v>
      </c>
      <c r="J59" s="20">
        <v>0</v>
      </c>
      <c r="K59" s="20">
        <f t="shared" si="0"/>
        <v>717.5</v>
      </c>
      <c r="L59" s="20">
        <f t="shared" si="1"/>
        <v>1774.9999999999998</v>
      </c>
      <c r="M59" s="20">
        <v>325</v>
      </c>
      <c r="N59" s="20">
        <v>760</v>
      </c>
      <c r="O59" s="20">
        <v>1772.5000000000002</v>
      </c>
      <c r="P59" s="20">
        <v>0</v>
      </c>
      <c r="Q59" s="19">
        <f t="shared" si="2"/>
        <v>1477.5</v>
      </c>
      <c r="R59" s="19">
        <f t="shared" si="3"/>
        <v>1502.5</v>
      </c>
      <c r="S59" s="19">
        <f t="shared" si="4"/>
        <v>3872.5</v>
      </c>
      <c r="T59" s="19">
        <f t="shared" si="5"/>
        <v>23497.5</v>
      </c>
      <c r="U59" s="22" t="s">
        <v>30</v>
      </c>
    </row>
    <row r="60" spans="1:21" ht="15.75" customHeight="1">
      <c r="A60" s="21">
        <v>45</v>
      </c>
      <c r="B60" s="21" t="s">
        <v>745</v>
      </c>
      <c r="C60" s="21" t="s">
        <v>48</v>
      </c>
      <c r="D60" s="17" t="s">
        <v>335</v>
      </c>
      <c r="E60" s="22" t="s">
        <v>29</v>
      </c>
      <c r="F60" s="19">
        <v>25000</v>
      </c>
      <c r="G60" s="20">
        <v>0</v>
      </c>
      <c r="H60" s="20">
        <v>25</v>
      </c>
      <c r="I60" s="20">
        <v>0</v>
      </c>
      <c r="J60" s="20">
        <v>0</v>
      </c>
      <c r="K60" s="20">
        <f t="shared" ref="K60" si="12">F60*2.87%</f>
        <v>717.5</v>
      </c>
      <c r="L60" s="20">
        <f t="shared" ref="L60" si="13">F60*7.1%</f>
        <v>1774.9999999999998</v>
      </c>
      <c r="M60" s="20">
        <v>325</v>
      </c>
      <c r="N60" s="20">
        <v>760</v>
      </c>
      <c r="O60" s="20">
        <v>1772.5000000000002</v>
      </c>
      <c r="P60" s="20">
        <v>0</v>
      </c>
      <c r="Q60" s="19">
        <f t="shared" ref="Q60" si="14">K60+N60</f>
        <v>1477.5</v>
      </c>
      <c r="R60" s="19">
        <f t="shared" ref="R60" si="15">G60+H60+I60+J60+K60+N60+P60</f>
        <v>1502.5</v>
      </c>
      <c r="S60" s="19">
        <f t="shared" ref="S60" si="16">L60+M60+O60</f>
        <v>3872.5</v>
      </c>
      <c r="T60" s="19">
        <f t="shared" ref="T60" si="17">F60-R60</f>
        <v>23497.5</v>
      </c>
      <c r="U60" s="22" t="s">
        <v>36</v>
      </c>
    </row>
    <row r="61" spans="1:21" ht="15.75" customHeight="1">
      <c r="A61" s="17">
        <v>46</v>
      </c>
      <c r="B61" s="21" t="s">
        <v>108</v>
      </c>
      <c r="C61" s="21" t="s">
        <v>48</v>
      </c>
      <c r="D61" s="17" t="s">
        <v>61</v>
      </c>
      <c r="E61" s="22" t="s">
        <v>29</v>
      </c>
      <c r="F61" s="19">
        <v>25000</v>
      </c>
      <c r="G61" s="20">
        <v>0</v>
      </c>
      <c r="H61" s="20">
        <v>25</v>
      </c>
      <c r="I61" s="20">
        <v>0</v>
      </c>
      <c r="J61" s="20">
        <v>0</v>
      </c>
      <c r="K61" s="20">
        <f t="shared" si="0"/>
        <v>717.5</v>
      </c>
      <c r="L61" s="20">
        <f t="shared" si="1"/>
        <v>1774.9999999999998</v>
      </c>
      <c r="M61" s="20">
        <v>325</v>
      </c>
      <c r="N61" s="20">
        <v>760</v>
      </c>
      <c r="O61" s="20">
        <v>1772.5000000000002</v>
      </c>
      <c r="P61" s="20">
        <v>0</v>
      </c>
      <c r="Q61" s="19">
        <f t="shared" si="2"/>
        <v>1477.5</v>
      </c>
      <c r="R61" s="19">
        <f t="shared" si="3"/>
        <v>1502.5</v>
      </c>
      <c r="S61" s="19">
        <f t="shared" si="4"/>
        <v>3872.5</v>
      </c>
      <c r="T61" s="19">
        <f t="shared" si="5"/>
        <v>23497.5</v>
      </c>
      <c r="U61" s="22" t="s">
        <v>36</v>
      </c>
    </row>
    <row r="62" spans="1:21" ht="15.75" customHeight="1">
      <c r="A62" s="21">
        <v>47</v>
      </c>
      <c r="B62" s="21" t="s">
        <v>109</v>
      </c>
      <c r="C62" s="21" t="s">
        <v>57</v>
      </c>
      <c r="D62" s="17" t="s">
        <v>58</v>
      </c>
      <c r="E62" s="22" t="s">
        <v>29</v>
      </c>
      <c r="F62" s="19">
        <v>10000</v>
      </c>
      <c r="G62" s="20">
        <v>0</v>
      </c>
      <c r="H62" s="20">
        <v>25</v>
      </c>
      <c r="I62" s="20">
        <v>0</v>
      </c>
      <c r="J62" s="20">
        <f>500+300</f>
        <v>800</v>
      </c>
      <c r="K62" s="20">
        <f t="shared" si="0"/>
        <v>287</v>
      </c>
      <c r="L62" s="20">
        <f t="shared" si="1"/>
        <v>709.99999999999989</v>
      </c>
      <c r="M62" s="20">
        <v>130</v>
      </c>
      <c r="N62" s="20">
        <v>304</v>
      </c>
      <c r="O62" s="20">
        <v>709</v>
      </c>
      <c r="P62" s="20">
        <v>0</v>
      </c>
      <c r="Q62" s="19">
        <f t="shared" si="2"/>
        <v>591</v>
      </c>
      <c r="R62" s="19">
        <f t="shared" si="3"/>
        <v>1416</v>
      </c>
      <c r="S62" s="19">
        <f t="shared" si="4"/>
        <v>1549</v>
      </c>
      <c r="T62" s="19">
        <f t="shared" si="5"/>
        <v>8584</v>
      </c>
      <c r="U62" s="22" t="s">
        <v>36</v>
      </c>
    </row>
    <row r="63" spans="1:21" ht="15.75" customHeight="1">
      <c r="A63" s="21">
        <v>48</v>
      </c>
      <c r="B63" s="21" t="s">
        <v>110</v>
      </c>
      <c r="C63" s="21" t="s">
        <v>77</v>
      </c>
      <c r="D63" s="17" t="s">
        <v>78</v>
      </c>
      <c r="E63" s="22" t="s">
        <v>29</v>
      </c>
      <c r="F63" s="19">
        <v>10000</v>
      </c>
      <c r="G63" s="20">
        <v>0</v>
      </c>
      <c r="H63" s="20">
        <v>25</v>
      </c>
      <c r="I63" s="20">
        <v>0</v>
      </c>
      <c r="J63" s="20">
        <v>0</v>
      </c>
      <c r="K63" s="20">
        <f t="shared" si="0"/>
        <v>287</v>
      </c>
      <c r="L63" s="20">
        <f t="shared" si="1"/>
        <v>709.99999999999989</v>
      </c>
      <c r="M63" s="20">
        <v>130</v>
      </c>
      <c r="N63" s="20">
        <v>304</v>
      </c>
      <c r="O63" s="20">
        <v>709</v>
      </c>
      <c r="P63" s="20">
        <v>1587.38</v>
      </c>
      <c r="Q63" s="19">
        <f t="shared" si="2"/>
        <v>591</v>
      </c>
      <c r="R63" s="19">
        <f t="shared" si="3"/>
        <v>2203.38</v>
      </c>
      <c r="S63" s="19">
        <f t="shared" si="4"/>
        <v>1549</v>
      </c>
      <c r="T63" s="19">
        <f t="shared" si="5"/>
        <v>7796.62</v>
      </c>
      <c r="U63" s="22" t="s">
        <v>36</v>
      </c>
    </row>
    <row r="64" spans="1:21" ht="15.75" customHeight="1">
      <c r="A64" s="17">
        <v>49</v>
      </c>
      <c r="B64" s="21" t="s">
        <v>111</v>
      </c>
      <c r="C64" s="21" t="s">
        <v>48</v>
      </c>
      <c r="D64" s="21" t="s">
        <v>58</v>
      </c>
      <c r="E64" s="22" t="s">
        <v>29</v>
      </c>
      <c r="F64" s="19">
        <v>21800</v>
      </c>
      <c r="G64" s="20">
        <v>0</v>
      </c>
      <c r="H64" s="20">
        <v>25</v>
      </c>
      <c r="I64" s="20">
        <v>0</v>
      </c>
      <c r="J64" s="20">
        <f>1500+300+3844.15</f>
        <v>5644.15</v>
      </c>
      <c r="K64" s="20">
        <f t="shared" si="0"/>
        <v>625.66</v>
      </c>
      <c r="L64" s="20">
        <f t="shared" si="1"/>
        <v>1547.8</v>
      </c>
      <c r="M64" s="20">
        <v>283.39999999999998</v>
      </c>
      <c r="N64" s="20">
        <v>662.72</v>
      </c>
      <c r="O64" s="20">
        <v>1545.6200000000001</v>
      </c>
      <c r="P64" s="20">
        <v>0</v>
      </c>
      <c r="Q64" s="19">
        <f t="shared" si="2"/>
        <v>1288.3800000000001</v>
      </c>
      <c r="R64" s="19">
        <f t="shared" si="3"/>
        <v>6957.53</v>
      </c>
      <c r="S64" s="19">
        <f t="shared" si="4"/>
        <v>3376.8199999999997</v>
      </c>
      <c r="T64" s="19">
        <f t="shared" si="5"/>
        <v>14842.470000000001</v>
      </c>
      <c r="U64" s="22" t="s">
        <v>36</v>
      </c>
    </row>
    <row r="65" spans="1:21" ht="15.75" customHeight="1">
      <c r="A65" s="21">
        <v>50</v>
      </c>
      <c r="B65" s="21" t="s">
        <v>112</v>
      </c>
      <c r="C65" s="21" t="s">
        <v>71</v>
      </c>
      <c r="D65" s="17" t="s">
        <v>78</v>
      </c>
      <c r="E65" s="22" t="s">
        <v>29</v>
      </c>
      <c r="F65" s="19">
        <v>10000</v>
      </c>
      <c r="G65" s="20">
        <v>0</v>
      </c>
      <c r="H65" s="20">
        <v>25</v>
      </c>
      <c r="I65" s="20">
        <v>0</v>
      </c>
      <c r="J65" s="20">
        <v>0</v>
      </c>
      <c r="K65" s="20">
        <f t="shared" si="0"/>
        <v>287</v>
      </c>
      <c r="L65" s="20">
        <f t="shared" si="1"/>
        <v>709.99999999999989</v>
      </c>
      <c r="M65" s="20">
        <v>130</v>
      </c>
      <c r="N65" s="20">
        <v>304</v>
      </c>
      <c r="O65" s="20">
        <v>709</v>
      </c>
      <c r="P65" s="20">
        <v>0</v>
      </c>
      <c r="Q65" s="19">
        <f t="shared" si="2"/>
        <v>591</v>
      </c>
      <c r="R65" s="19">
        <f t="shared" si="3"/>
        <v>616</v>
      </c>
      <c r="S65" s="19">
        <f t="shared" si="4"/>
        <v>1549</v>
      </c>
      <c r="T65" s="19">
        <f t="shared" si="5"/>
        <v>9384</v>
      </c>
      <c r="U65" s="22" t="s">
        <v>36</v>
      </c>
    </row>
    <row r="66" spans="1:21" ht="15.75" customHeight="1">
      <c r="A66" s="21">
        <v>51</v>
      </c>
      <c r="B66" s="21" t="s">
        <v>113</v>
      </c>
      <c r="C66" s="21" t="s">
        <v>68</v>
      </c>
      <c r="D66" s="17" t="s">
        <v>55</v>
      </c>
      <c r="E66" s="22" t="s">
        <v>29</v>
      </c>
      <c r="F66" s="19">
        <v>14750</v>
      </c>
      <c r="G66" s="20">
        <v>0</v>
      </c>
      <c r="H66" s="20">
        <v>25</v>
      </c>
      <c r="I66" s="20">
        <v>0</v>
      </c>
      <c r="J66" s="20">
        <f>700+300+2549.34</f>
        <v>3549.34</v>
      </c>
      <c r="K66" s="20">
        <f t="shared" si="0"/>
        <v>423.32499999999999</v>
      </c>
      <c r="L66" s="20">
        <f t="shared" si="1"/>
        <v>1047.25</v>
      </c>
      <c r="M66" s="20">
        <v>191.75</v>
      </c>
      <c r="N66" s="20">
        <v>448.4</v>
      </c>
      <c r="O66" s="20">
        <v>1045.7750000000001</v>
      </c>
      <c r="P66" s="20">
        <v>786</v>
      </c>
      <c r="Q66" s="19">
        <f t="shared" si="2"/>
        <v>871.72499999999991</v>
      </c>
      <c r="R66" s="19">
        <f t="shared" si="3"/>
        <v>5232.0649999999996</v>
      </c>
      <c r="S66" s="19">
        <f t="shared" si="4"/>
        <v>2284.7750000000001</v>
      </c>
      <c r="T66" s="19">
        <f t="shared" si="5"/>
        <v>9517.9350000000013</v>
      </c>
      <c r="U66" s="22" t="s">
        <v>36</v>
      </c>
    </row>
    <row r="67" spans="1:21" ht="15.75" customHeight="1">
      <c r="A67" s="17">
        <v>52</v>
      </c>
      <c r="B67" s="21" t="s">
        <v>114</v>
      </c>
      <c r="C67" s="21" t="s">
        <v>51</v>
      </c>
      <c r="D67" s="17" t="s">
        <v>52</v>
      </c>
      <c r="E67" s="22" t="s">
        <v>29</v>
      </c>
      <c r="F67" s="19">
        <v>15000</v>
      </c>
      <c r="G67" s="20">
        <v>0</v>
      </c>
      <c r="H67" s="20">
        <v>25</v>
      </c>
      <c r="I67" s="20">
        <v>0</v>
      </c>
      <c r="J67" s="20">
        <f>300+300+2648.82</f>
        <v>3248.82</v>
      </c>
      <c r="K67" s="20">
        <f t="shared" si="0"/>
        <v>430.5</v>
      </c>
      <c r="L67" s="20">
        <f t="shared" si="1"/>
        <v>1065</v>
      </c>
      <c r="M67" s="20">
        <v>195</v>
      </c>
      <c r="N67" s="20">
        <v>456</v>
      </c>
      <c r="O67" s="20">
        <v>1063.5</v>
      </c>
      <c r="P67" s="20">
        <v>0</v>
      </c>
      <c r="Q67" s="19">
        <f t="shared" si="2"/>
        <v>886.5</v>
      </c>
      <c r="R67" s="19">
        <f t="shared" si="3"/>
        <v>4160.32</v>
      </c>
      <c r="S67" s="19">
        <f t="shared" si="4"/>
        <v>2323.5</v>
      </c>
      <c r="T67" s="19">
        <f t="shared" si="5"/>
        <v>10839.68</v>
      </c>
      <c r="U67" s="22" t="s">
        <v>36</v>
      </c>
    </row>
    <row r="68" spans="1:21" ht="15.75" customHeight="1">
      <c r="A68" s="21">
        <v>53</v>
      </c>
      <c r="B68" s="21" t="s">
        <v>115</v>
      </c>
      <c r="C68" s="21" t="s">
        <v>63</v>
      </c>
      <c r="D68" s="17" t="s">
        <v>78</v>
      </c>
      <c r="E68" s="22" t="s">
        <v>29</v>
      </c>
      <c r="F68" s="19">
        <v>15000</v>
      </c>
      <c r="G68" s="20">
        <v>0</v>
      </c>
      <c r="H68" s="20">
        <v>25</v>
      </c>
      <c r="I68" s="20">
        <v>0</v>
      </c>
      <c r="J68" s="20">
        <v>0</v>
      </c>
      <c r="K68" s="20">
        <f t="shared" si="0"/>
        <v>430.5</v>
      </c>
      <c r="L68" s="20">
        <f t="shared" si="1"/>
        <v>1065</v>
      </c>
      <c r="M68" s="20">
        <v>195</v>
      </c>
      <c r="N68" s="20">
        <v>456</v>
      </c>
      <c r="O68" s="20">
        <v>1063.5</v>
      </c>
      <c r="P68" s="20">
        <v>0</v>
      </c>
      <c r="Q68" s="19">
        <f t="shared" si="2"/>
        <v>886.5</v>
      </c>
      <c r="R68" s="19">
        <f t="shared" si="3"/>
        <v>911.5</v>
      </c>
      <c r="S68" s="19">
        <f t="shared" si="4"/>
        <v>2323.5</v>
      </c>
      <c r="T68" s="19">
        <f t="shared" si="5"/>
        <v>14088.5</v>
      </c>
      <c r="U68" s="22" t="s">
        <v>30</v>
      </c>
    </row>
    <row r="69" spans="1:21" ht="15.75" customHeight="1">
      <c r="A69" s="21">
        <v>54</v>
      </c>
      <c r="B69" s="21" t="s">
        <v>116</v>
      </c>
      <c r="C69" s="21" t="s">
        <v>77</v>
      </c>
      <c r="D69" s="17" t="s">
        <v>78</v>
      </c>
      <c r="E69" s="22" t="s">
        <v>29</v>
      </c>
      <c r="F69" s="19">
        <v>10000</v>
      </c>
      <c r="G69" s="20">
        <v>0</v>
      </c>
      <c r="H69" s="20">
        <v>25</v>
      </c>
      <c r="I69" s="20">
        <v>0</v>
      </c>
      <c r="J69" s="20">
        <v>0</v>
      </c>
      <c r="K69" s="20">
        <f t="shared" si="0"/>
        <v>287</v>
      </c>
      <c r="L69" s="20">
        <f t="shared" si="1"/>
        <v>709.99999999999989</v>
      </c>
      <c r="M69" s="20">
        <v>130</v>
      </c>
      <c r="N69" s="20">
        <v>304</v>
      </c>
      <c r="O69" s="20">
        <v>709</v>
      </c>
      <c r="P69" s="20">
        <v>0</v>
      </c>
      <c r="Q69" s="19">
        <f t="shared" si="2"/>
        <v>591</v>
      </c>
      <c r="R69" s="19">
        <f t="shared" si="3"/>
        <v>616</v>
      </c>
      <c r="S69" s="19">
        <f t="shared" si="4"/>
        <v>1549</v>
      </c>
      <c r="T69" s="19">
        <f t="shared" si="5"/>
        <v>9384</v>
      </c>
      <c r="U69" s="22" t="s">
        <v>30</v>
      </c>
    </row>
    <row r="70" spans="1:21" ht="15.75" customHeight="1">
      <c r="A70" s="17">
        <v>55</v>
      </c>
      <c r="B70" s="21" t="s">
        <v>117</v>
      </c>
      <c r="C70" s="21" t="s">
        <v>57</v>
      </c>
      <c r="D70" s="17" t="s">
        <v>58</v>
      </c>
      <c r="E70" s="22" t="s">
        <v>29</v>
      </c>
      <c r="F70" s="19">
        <v>10000</v>
      </c>
      <c r="G70" s="20">
        <v>0</v>
      </c>
      <c r="H70" s="20">
        <v>25</v>
      </c>
      <c r="I70" s="20">
        <v>0</v>
      </c>
      <c r="J70" s="20">
        <v>0</v>
      </c>
      <c r="K70" s="20">
        <f t="shared" si="0"/>
        <v>287</v>
      </c>
      <c r="L70" s="20">
        <f t="shared" si="1"/>
        <v>709.99999999999989</v>
      </c>
      <c r="M70" s="20">
        <v>130</v>
      </c>
      <c r="N70" s="20">
        <v>304</v>
      </c>
      <c r="O70" s="20">
        <v>709</v>
      </c>
      <c r="P70" s="20">
        <v>0</v>
      </c>
      <c r="Q70" s="19">
        <f t="shared" si="2"/>
        <v>591</v>
      </c>
      <c r="R70" s="19">
        <f t="shared" si="3"/>
        <v>616</v>
      </c>
      <c r="S70" s="19">
        <f t="shared" si="4"/>
        <v>1549</v>
      </c>
      <c r="T70" s="19">
        <f t="shared" si="5"/>
        <v>9384</v>
      </c>
      <c r="U70" s="22" t="s">
        <v>30</v>
      </c>
    </row>
    <row r="71" spans="1:21" ht="15.75" customHeight="1">
      <c r="A71" s="21">
        <v>56</v>
      </c>
      <c r="B71" s="21" t="s">
        <v>118</v>
      </c>
      <c r="C71" s="21" t="s">
        <v>77</v>
      </c>
      <c r="D71" s="21" t="s">
        <v>78</v>
      </c>
      <c r="E71" s="22" t="s">
        <v>29</v>
      </c>
      <c r="F71" s="19">
        <v>10000</v>
      </c>
      <c r="G71" s="20">
        <v>0</v>
      </c>
      <c r="H71" s="20">
        <v>25</v>
      </c>
      <c r="I71" s="20">
        <v>0</v>
      </c>
      <c r="J71" s="20">
        <v>0</v>
      </c>
      <c r="K71" s="20">
        <f t="shared" si="0"/>
        <v>287</v>
      </c>
      <c r="L71" s="20">
        <f t="shared" si="1"/>
        <v>709.99999999999989</v>
      </c>
      <c r="M71" s="20">
        <v>130</v>
      </c>
      <c r="N71" s="20">
        <v>304</v>
      </c>
      <c r="O71" s="20">
        <v>709</v>
      </c>
      <c r="P71" s="20">
        <v>0</v>
      </c>
      <c r="Q71" s="19">
        <f t="shared" si="2"/>
        <v>591</v>
      </c>
      <c r="R71" s="19">
        <f t="shared" si="3"/>
        <v>616</v>
      </c>
      <c r="S71" s="19">
        <f t="shared" si="4"/>
        <v>1549</v>
      </c>
      <c r="T71" s="19">
        <f t="shared" si="5"/>
        <v>9384</v>
      </c>
      <c r="U71" s="22" t="s">
        <v>30</v>
      </c>
    </row>
    <row r="72" spans="1:21" ht="15.75" customHeight="1">
      <c r="A72" s="21">
        <v>57</v>
      </c>
      <c r="B72" s="21" t="s">
        <v>742</v>
      </c>
      <c r="C72" s="21" t="s">
        <v>57</v>
      </c>
      <c r="D72" s="21" t="s">
        <v>58</v>
      </c>
      <c r="E72" s="22" t="s">
        <v>29</v>
      </c>
      <c r="F72" s="19">
        <v>15000</v>
      </c>
      <c r="G72" s="20">
        <v>0</v>
      </c>
      <c r="H72" s="20">
        <v>25</v>
      </c>
      <c r="I72" s="20">
        <v>0</v>
      </c>
      <c r="J72" s="20">
        <v>0</v>
      </c>
      <c r="K72" s="20">
        <f t="shared" ref="K72" si="18">F72*2.87%</f>
        <v>430.5</v>
      </c>
      <c r="L72" s="20">
        <f t="shared" ref="L72" si="19">F72*7.1%</f>
        <v>1065</v>
      </c>
      <c r="M72" s="20">
        <v>195</v>
      </c>
      <c r="N72" s="20">
        <v>456</v>
      </c>
      <c r="O72" s="20">
        <v>1063.5</v>
      </c>
      <c r="P72" s="20">
        <v>0</v>
      </c>
      <c r="Q72" s="19">
        <f t="shared" ref="Q72" si="20">K72+N72</f>
        <v>886.5</v>
      </c>
      <c r="R72" s="19">
        <f t="shared" ref="R72" si="21">G72+H72+I72+J72+K72+N72+P72</f>
        <v>911.5</v>
      </c>
      <c r="S72" s="19">
        <f t="shared" ref="S72" si="22">L72+M72+O72</f>
        <v>2323.5</v>
      </c>
      <c r="T72" s="19">
        <f t="shared" ref="T72" si="23">F72-R72</f>
        <v>14088.5</v>
      </c>
      <c r="U72" s="22" t="s">
        <v>36</v>
      </c>
    </row>
    <row r="73" spans="1:21" ht="15.75" customHeight="1">
      <c r="A73" s="17">
        <v>58</v>
      </c>
      <c r="B73" s="21" t="s">
        <v>119</v>
      </c>
      <c r="C73" s="21" t="s">
        <v>57</v>
      </c>
      <c r="D73" s="21" t="s">
        <v>58</v>
      </c>
      <c r="E73" s="22" t="s">
        <v>29</v>
      </c>
      <c r="F73" s="19">
        <v>15000</v>
      </c>
      <c r="G73" s="20">
        <v>0</v>
      </c>
      <c r="H73" s="20">
        <v>25</v>
      </c>
      <c r="I73" s="20">
        <v>0</v>
      </c>
      <c r="J73" s="20">
        <v>0</v>
      </c>
      <c r="K73" s="20">
        <f t="shared" si="0"/>
        <v>430.5</v>
      </c>
      <c r="L73" s="20">
        <f t="shared" si="1"/>
        <v>1065</v>
      </c>
      <c r="M73" s="20">
        <v>195</v>
      </c>
      <c r="N73" s="20">
        <v>456</v>
      </c>
      <c r="O73" s="20">
        <v>1063.5</v>
      </c>
      <c r="P73" s="20">
        <v>0</v>
      </c>
      <c r="Q73" s="19">
        <f t="shared" si="2"/>
        <v>886.5</v>
      </c>
      <c r="R73" s="19">
        <f t="shared" si="3"/>
        <v>911.5</v>
      </c>
      <c r="S73" s="19">
        <f t="shared" si="4"/>
        <v>2323.5</v>
      </c>
      <c r="T73" s="19">
        <f t="shared" si="5"/>
        <v>14088.5</v>
      </c>
      <c r="U73" s="22" t="s">
        <v>36</v>
      </c>
    </row>
    <row r="74" spans="1:21" ht="15.75" customHeight="1">
      <c r="A74" s="21">
        <v>59</v>
      </c>
      <c r="B74" s="21" t="s">
        <v>120</v>
      </c>
      <c r="C74" s="21" t="s">
        <v>68</v>
      </c>
      <c r="D74" s="21" t="s">
        <v>72</v>
      </c>
      <c r="E74" s="22" t="s">
        <v>29</v>
      </c>
      <c r="F74" s="19">
        <v>18000</v>
      </c>
      <c r="G74" s="20">
        <v>0</v>
      </c>
      <c r="H74" s="20">
        <v>25</v>
      </c>
      <c r="I74" s="20">
        <v>0</v>
      </c>
      <c r="J74" s="20">
        <v>0</v>
      </c>
      <c r="K74" s="20">
        <f t="shared" si="0"/>
        <v>516.6</v>
      </c>
      <c r="L74" s="20">
        <f t="shared" si="1"/>
        <v>1277.9999999999998</v>
      </c>
      <c r="M74" s="20">
        <v>234</v>
      </c>
      <c r="N74" s="20">
        <v>547.20000000000005</v>
      </c>
      <c r="O74" s="20">
        <v>1276.2</v>
      </c>
      <c r="P74" s="20">
        <v>0</v>
      </c>
      <c r="Q74" s="19">
        <f t="shared" si="2"/>
        <v>1063.8000000000002</v>
      </c>
      <c r="R74" s="19">
        <f t="shared" si="3"/>
        <v>1088.8000000000002</v>
      </c>
      <c r="S74" s="19">
        <f t="shared" si="4"/>
        <v>2788.2</v>
      </c>
      <c r="T74" s="19">
        <f t="shared" si="5"/>
        <v>16911.2</v>
      </c>
      <c r="U74" s="22" t="s">
        <v>36</v>
      </c>
    </row>
    <row r="75" spans="1:21" ht="15.75" customHeight="1">
      <c r="A75" s="21">
        <v>60</v>
      </c>
      <c r="B75" s="21" t="s">
        <v>121</v>
      </c>
      <c r="C75" s="21" t="s">
        <v>77</v>
      </c>
      <c r="D75" s="21" t="s">
        <v>78</v>
      </c>
      <c r="E75" s="22" t="s">
        <v>29</v>
      </c>
      <c r="F75" s="19">
        <v>10000</v>
      </c>
      <c r="G75" s="20">
        <v>0</v>
      </c>
      <c r="H75" s="20">
        <v>25</v>
      </c>
      <c r="I75" s="20">
        <v>0</v>
      </c>
      <c r="J75" s="20">
        <v>0</v>
      </c>
      <c r="K75" s="20">
        <f t="shared" si="0"/>
        <v>287</v>
      </c>
      <c r="L75" s="20">
        <f t="shared" si="1"/>
        <v>709.99999999999989</v>
      </c>
      <c r="M75" s="20">
        <v>130</v>
      </c>
      <c r="N75" s="20">
        <v>304</v>
      </c>
      <c r="O75" s="20">
        <v>709</v>
      </c>
      <c r="P75" s="20">
        <v>0</v>
      </c>
      <c r="Q75" s="19">
        <f t="shared" si="2"/>
        <v>591</v>
      </c>
      <c r="R75" s="19">
        <f t="shared" si="3"/>
        <v>616</v>
      </c>
      <c r="S75" s="19">
        <f t="shared" si="4"/>
        <v>1549</v>
      </c>
      <c r="T75" s="19">
        <f t="shared" si="5"/>
        <v>9384</v>
      </c>
      <c r="U75" s="22" t="s">
        <v>30</v>
      </c>
    </row>
    <row r="76" spans="1:21" ht="15.75" customHeight="1">
      <c r="A76" s="17">
        <v>61</v>
      </c>
      <c r="B76" s="21" t="s">
        <v>123</v>
      </c>
      <c r="C76" s="21" t="s">
        <v>57</v>
      </c>
      <c r="D76" s="17" t="s">
        <v>58</v>
      </c>
      <c r="E76" s="22" t="s">
        <v>29</v>
      </c>
      <c r="F76" s="19">
        <v>15000</v>
      </c>
      <c r="G76" s="20">
        <v>0</v>
      </c>
      <c r="H76" s="20">
        <v>25</v>
      </c>
      <c r="I76" s="20">
        <v>0</v>
      </c>
      <c r="J76" s="20">
        <v>0</v>
      </c>
      <c r="K76" s="20">
        <f t="shared" si="0"/>
        <v>430.5</v>
      </c>
      <c r="L76" s="20">
        <f t="shared" si="1"/>
        <v>1065</v>
      </c>
      <c r="M76" s="20">
        <v>195</v>
      </c>
      <c r="N76" s="20">
        <v>456</v>
      </c>
      <c r="O76" s="20">
        <v>1063.5</v>
      </c>
      <c r="P76" s="20">
        <v>0</v>
      </c>
      <c r="Q76" s="19">
        <f t="shared" si="2"/>
        <v>886.5</v>
      </c>
      <c r="R76" s="19">
        <f t="shared" si="3"/>
        <v>911.5</v>
      </c>
      <c r="S76" s="19">
        <f t="shared" si="4"/>
        <v>2323.5</v>
      </c>
      <c r="T76" s="19">
        <f t="shared" si="5"/>
        <v>14088.5</v>
      </c>
      <c r="U76" s="22" t="s">
        <v>30</v>
      </c>
    </row>
    <row r="77" spans="1:21" ht="15.75" customHeight="1">
      <c r="A77" s="21">
        <v>62</v>
      </c>
      <c r="B77" s="21" t="s">
        <v>124</v>
      </c>
      <c r="C77" s="21" t="s">
        <v>77</v>
      </c>
      <c r="D77" s="17" t="s">
        <v>61</v>
      </c>
      <c r="E77" s="22" t="s">
        <v>29</v>
      </c>
      <c r="F77" s="19">
        <v>15000</v>
      </c>
      <c r="G77" s="20">
        <v>0</v>
      </c>
      <c r="H77" s="20">
        <v>25</v>
      </c>
      <c r="I77" s="20">
        <v>0</v>
      </c>
      <c r="J77" s="20">
        <v>0</v>
      </c>
      <c r="K77" s="20">
        <f t="shared" si="0"/>
        <v>430.5</v>
      </c>
      <c r="L77" s="20">
        <f t="shared" si="1"/>
        <v>1065</v>
      </c>
      <c r="M77" s="20">
        <v>195</v>
      </c>
      <c r="N77" s="20">
        <v>456</v>
      </c>
      <c r="O77" s="20">
        <v>1063.5</v>
      </c>
      <c r="P77" s="20">
        <v>0</v>
      </c>
      <c r="Q77" s="19">
        <f t="shared" si="2"/>
        <v>886.5</v>
      </c>
      <c r="R77" s="19">
        <f t="shared" si="3"/>
        <v>911.5</v>
      </c>
      <c r="S77" s="19">
        <f t="shared" si="4"/>
        <v>2323.5</v>
      </c>
      <c r="T77" s="19">
        <f t="shared" si="5"/>
        <v>14088.5</v>
      </c>
      <c r="U77" s="22" t="s">
        <v>30</v>
      </c>
    </row>
    <row r="78" spans="1:21" ht="15.75" customHeight="1">
      <c r="A78" s="21">
        <v>63</v>
      </c>
      <c r="B78" s="21" t="s">
        <v>125</v>
      </c>
      <c r="C78" s="21" t="s">
        <v>96</v>
      </c>
      <c r="D78" s="17" t="s">
        <v>49</v>
      </c>
      <c r="E78" s="22" t="s">
        <v>29</v>
      </c>
      <c r="F78" s="19">
        <v>18000</v>
      </c>
      <c r="G78" s="20">
        <v>0</v>
      </c>
      <c r="H78" s="20">
        <v>25</v>
      </c>
      <c r="I78" s="20">
        <v>0</v>
      </c>
      <c r="J78" s="20">
        <f>700+300+7035.34</f>
        <v>8035.34</v>
      </c>
      <c r="K78" s="20">
        <f t="shared" si="0"/>
        <v>516.6</v>
      </c>
      <c r="L78" s="20">
        <f t="shared" si="1"/>
        <v>1277.9999999999998</v>
      </c>
      <c r="M78" s="20">
        <v>234</v>
      </c>
      <c r="N78" s="20">
        <v>547.20000000000005</v>
      </c>
      <c r="O78" s="20">
        <v>1276.2</v>
      </c>
      <c r="P78" s="20">
        <v>0</v>
      </c>
      <c r="Q78" s="19">
        <f t="shared" si="2"/>
        <v>1063.8000000000002</v>
      </c>
      <c r="R78" s="19">
        <f t="shared" si="3"/>
        <v>9124.1400000000012</v>
      </c>
      <c r="S78" s="19">
        <f t="shared" si="4"/>
        <v>2788.2</v>
      </c>
      <c r="T78" s="19">
        <f t="shared" si="5"/>
        <v>8875.8599999999988</v>
      </c>
      <c r="U78" s="22" t="s">
        <v>30</v>
      </c>
    </row>
    <row r="79" spans="1:21" ht="15.75" customHeight="1">
      <c r="A79" s="17">
        <v>64</v>
      </c>
      <c r="B79" s="21" t="s">
        <v>126</v>
      </c>
      <c r="C79" s="21" t="s">
        <v>60</v>
      </c>
      <c r="D79" s="17" t="s">
        <v>61</v>
      </c>
      <c r="E79" s="22" t="s">
        <v>29</v>
      </c>
      <c r="F79" s="19">
        <v>35000</v>
      </c>
      <c r="G79" s="20">
        <v>0</v>
      </c>
      <c r="H79" s="20">
        <v>25</v>
      </c>
      <c r="I79" s="20">
        <v>0</v>
      </c>
      <c r="J79" s="20">
        <v>0</v>
      </c>
      <c r="K79" s="20">
        <f t="shared" si="0"/>
        <v>1004.5</v>
      </c>
      <c r="L79" s="20">
        <f t="shared" si="1"/>
        <v>2485</v>
      </c>
      <c r="M79" s="20">
        <v>455</v>
      </c>
      <c r="N79" s="20">
        <v>1064</v>
      </c>
      <c r="O79" s="20">
        <v>2481.5</v>
      </c>
      <c r="P79" s="20">
        <v>0</v>
      </c>
      <c r="Q79" s="19">
        <f t="shared" si="2"/>
        <v>2068.5</v>
      </c>
      <c r="R79" s="19">
        <f t="shared" si="3"/>
        <v>2093.5</v>
      </c>
      <c r="S79" s="19">
        <f t="shared" si="4"/>
        <v>5421.5</v>
      </c>
      <c r="T79" s="19">
        <f t="shared" si="5"/>
        <v>32906.5</v>
      </c>
      <c r="U79" s="22" t="s">
        <v>30</v>
      </c>
    </row>
    <row r="80" spans="1:21" ht="15.75" customHeight="1">
      <c r="A80" s="21">
        <v>65</v>
      </c>
      <c r="B80" s="21" t="s">
        <v>127</v>
      </c>
      <c r="C80" s="21" t="s">
        <v>77</v>
      </c>
      <c r="D80" s="17" t="s">
        <v>78</v>
      </c>
      <c r="E80" s="22" t="s">
        <v>29</v>
      </c>
      <c r="F80" s="19">
        <v>10000</v>
      </c>
      <c r="G80" s="20">
        <v>0</v>
      </c>
      <c r="H80" s="20">
        <v>25</v>
      </c>
      <c r="I80" s="20">
        <v>0</v>
      </c>
      <c r="J80" s="20">
        <v>0</v>
      </c>
      <c r="K80" s="20">
        <f t="shared" si="0"/>
        <v>287</v>
      </c>
      <c r="L80" s="20">
        <f t="shared" si="1"/>
        <v>709.99999999999989</v>
      </c>
      <c r="M80" s="20">
        <v>130</v>
      </c>
      <c r="N80" s="20">
        <v>304</v>
      </c>
      <c r="O80" s="20">
        <v>709</v>
      </c>
      <c r="P80" s="20">
        <v>0</v>
      </c>
      <c r="Q80" s="19">
        <f t="shared" si="2"/>
        <v>591</v>
      </c>
      <c r="R80" s="19">
        <f t="shared" si="3"/>
        <v>616</v>
      </c>
      <c r="S80" s="19">
        <f t="shared" si="4"/>
        <v>1549</v>
      </c>
      <c r="T80" s="19">
        <f t="shared" si="5"/>
        <v>9384</v>
      </c>
      <c r="U80" s="22" t="s">
        <v>30</v>
      </c>
    </row>
    <row r="81" spans="1:21" ht="15.75" customHeight="1">
      <c r="A81" s="21">
        <v>66</v>
      </c>
      <c r="B81" s="21" t="s">
        <v>128</v>
      </c>
      <c r="C81" s="21" t="s">
        <v>77</v>
      </c>
      <c r="D81" s="17" t="s">
        <v>58</v>
      </c>
      <c r="E81" s="22" t="s">
        <v>29</v>
      </c>
      <c r="F81" s="19">
        <v>15000</v>
      </c>
      <c r="G81" s="20">
        <v>0</v>
      </c>
      <c r="H81" s="20">
        <v>25</v>
      </c>
      <c r="I81" s="20">
        <v>0</v>
      </c>
      <c r="J81" s="20">
        <v>0</v>
      </c>
      <c r="K81" s="20">
        <f t="shared" ref="K81:K145" si="24">F81*2.87%</f>
        <v>430.5</v>
      </c>
      <c r="L81" s="20">
        <f t="shared" ref="L81:L145" si="25">F81*7.1%</f>
        <v>1065</v>
      </c>
      <c r="M81" s="20">
        <v>195</v>
      </c>
      <c r="N81" s="20">
        <v>456</v>
      </c>
      <c r="O81" s="20">
        <v>1063.5</v>
      </c>
      <c r="P81" s="20">
        <v>0</v>
      </c>
      <c r="Q81" s="19">
        <f t="shared" ref="Q81:Q145" si="26">K81+N81</f>
        <v>886.5</v>
      </c>
      <c r="R81" s="19">
        <f t="shared" ref="R81:R145" si="27">G81+H81+I81+J81+K81+N81+P81</f>
        <v>911.5</v>
      </c>
      <c r="S81" s="19">
        <f t="shared" ref="S81:S145" si="28">L81+M81+O81</f>
        <v>2323.5</v>
      </c>
      <c r="T81" s="19">
        <f t="shared" ref="T81:T145" si="29">F81-R81</f>
        <v>14088.5</v>
      </c>
      <c r="U81" s="22" t="s">
        <v>30</v>
      </c>
    </row>
    <row r="82" spans="1:21" ht="15.75" customHeight="1">
      <c r="A82" s="17">
        <v>67</v>
      </c>
      <c r="B82" s="21" t="s">
        <v>129</v>
      </c>
      <c r="C82" s="21" t="s">
        <v>77</v>
      </c>
      <c r="D82" s="17" t="s">
        <v>61</v>
      </c>
      <c r="E82" s="22" t="s">
        <v>29</v>
      </c>
      <c r="F82" s="19">
        <v>10000</v>
      </c>
      <c r="G82" s="20">
        <v>0</v>
      </c>
      <c r="H82" s="20">
        <v>25</v>
      </c>
      <c r="I82" s="20">
        <v>0</v>
      </c>
      <c r="J82" s="20">
        <v>0</v>
      </c>
      <c r="K82" s="20">
        <f t="shared" si="24"/>
        <v>287</v>
      </c>
      <c r="L82" s="20">
        <f t="shared" si="25"/>
        <v>709.99999999999989</v>
      </c>
      <c r="M82" s="20">
        <v>130</v>
      </c>
      <c r="N82" s="20">
        <v>304</v>
      </c>
      <c r="O82" s="20">
        <v>709</v>
      </c>
      <c r="P82" s="20">
        <v>0</v>
      </c>
      <c r="Q82" s="19">
        <f t="shared" si="26"/>
        <v>591</v>
      </c>
      <c r="R82" s="19">
        <f t="shared" si="27"/>
        <v>616</v>
      </c>
      <c r="S82" s="19">
        <f t="shared" si="28"/>
        <v>1549</v>
      </c>
      <c r="T82" s="19">
        <f t="shared" si="29"/>
        <v>9384</v>
      </c>
      <c r="U82" s="22" t="s">
        <v>36</v>
      </c>
    </row>
    <row r="83" spans="1:21" ht="15.75" customHeight="1">
      <c r="A83" s="21">
        <v>68</v>
      </c>
      <c r="B83" s="21" t="s">
        <v>130</v>
      </c>
      <c r="C83" s="21" t="s">
        <v>48</v>
      </c>
      <c r="D83" s="17" t="s">
        <v>98</v>
      </c>
      <c r="E83" s="22" t="s">
        <v>29</v>
      </c>
      <c r="F83" s="19">
        <v>20000</v>
      </c>
      <c r="G83" s="20">
        <v>0</v>
      </c>
      <c r="H83" s="20">
        <v>25</v>
      </c>
      <c r="I83" s="20">
        <v>0</v>
      </c>
      <c r="J83" s="20">
        <v>0</v>
      </c>
      <c r="K83" s="20">
        <f t="shared" si="24"/>
        <v>574</v>
      </c>
      <c r="L83" s="20">
        <f t="shared" si="25"/>
        <v>1419.9999999999998</v>
      </c>
      <c r="M83" s="20">
        <v>260</v>
      </c>
      <c r="N83" s="20">
        <v>608</v>
      </c>
      <c r="O83" s="20">
        <v>1418</v>
      </c>
      <c r="P83" s="20">
        <v>0</v>
      </c>
      <c r="Q83" s="19">
        <f t="shared" si="26"/>
        <v>1182</v>
      </c>
      <c r="R83" s="19">
        <f t="shared" si="27"/>
        <v>1207</v>
      </c>
      <c r="S83" s="19">
        <f t="shared" si="28"/>
        <v>3098</v>
      </c>
      <c r="T83" s="19">
        <f t="shared" si="29"/>
        <v>18793</v>
      </c>
      <c r="U83" s="22" t="s">
        <v>36</v>
      </c>
    </row>
    <row r="84" spans="1:21" ht="15.75" customHeight="1">
      <c r="A84" s="21">
        <v>69</v>
      </c>
      <c r="B84" s="21" t="s">
        <v>131</v>
      </c>
      <c r="C84" s="21" t="s">
        <v>132</v>
      </c>
      <c r="D84" s="17" t="s">
        <v>61</v>
      </c>
      <c r="E84" s="22" t="s">
        <v>29</v>
      </c>
      <c r="F84" s="19">
        <v>30000</v>
      </c>
      <c r="G84" s="20">
        <v>0</v>
      </c>
      <c r="H84" s="20">
        <v>25</v>
      </c>
      <c r="I84" s="20">
        <v>0</v>
      </c>
      <c r="J84" s="20">
        <v>0</v>
      </c>
      <c r="K84" s="20">
        <f t="shared" si="24"/>
        <v>861</v>
      </c>
      <c r="L84" s="20">
        <f t="shared" si="25"/>
        <v>2130</v>
      </c>
      <c r="M84" s="20">
        <v>390</v>
      </c>
      <c r="N84" s="20">
        <v>912</v>
      </c>
      <c r="O84" s="20">
        <v>2127</v>
      </c>
      <c r="P84" s="20">
        <v>0</v>
      </c>
      <c r="Q84" s="19">
        <f t="shared" si="26"/>
        <v>1773</v>
      </c>
      <c r="R84" s="19">
        <f t="shared" si="27"/>
        <v>1798</v>
      </c>
      <c r="S84" s="19">
        <f t="shared" si="28"/>
        <v>4647</v>
      </c>
      <c r="T84" s="19">
        <f t="shared" si="29"/>
        <v>28202</v>
      </c>
      <c r="U84" s="22" t="s">
        <v>36</v>
      </c>
    </row>
    <row r="85" spans="1:21" ht="15.75" customHeight="1">
      <c r="A85" s="17">
        <v>70</v>
      </c>
      <c r="B85" s="21" t="s">
        <v>133</v>
      </c>
      <c r="C85" s="21" t="s">
        <v>63</v>
      </c>
      <c r="D85" s="17" t="s">
        <v>98</v>
      </c>
      <c r="E85" s="22" t="s">
        <v>29</v>
      </c>
      <c r="F85" s="19">
        <v>20000</v>
      </c>
      <c r="G85" s="20">
        <v>0</v>
      </c>
      <c r="H85" s="20">
        <v>25</v>
      </c>
      <c r="I85" s="20">
        <v>0</v>
      </c>
      <c r="J85" s="20">
        <f>300+300+5698.54</f>
        <v>6298.54</v>
      </c>
      <c r="K85" s="20">
        <f t="shared" si="24"/>
        <v>574</v>
      </c>
      <c r="L85" s="20">
        <f t="shared" si="25"/>
        <v>1419.9999999999998</v>
      </c>
      <c r="M85" s="20">
        <v>260</v>
      </c>
      <c r="N85" s="20">
        <v>608</v>
      </c>
      <c r="O85" s="20">
        <v>1418</v>
      </c>
      <c r="P85" s="20">
        <v>0</v>
      </c>
      <c r="Q85" s="19">
        <f t="shared" si="26"/>
        <v>1182</v>
      </c>
      <c r="R85" s="19">
        <f t="shared" si="27"/>
        <v>7505.54</v>
      </c>
      <c r="S85" s="19">
        <f t="shared" si="28"/>
        <v>3098</v>
      </c>
      <c r="T85" s="19">
        <f t="shared" si="29"/>
        <v>12494.46</v>
      </c>
      <c r="U85" s="22" t="s">
        <v>30</v>
      </c>
    </row>
    <row r="86" spans="1:21" ht="15.75" customHeight="1">
      <c r="A86" s="21">
        <v>71</v>
      </c>
      <c r="B86" s="21" t="s">
        <v>134</v>
      </c>
      <c r="C86" s="21" t="s">
        <v>68</v>
      </c>
      <c r="D86" s="17" t="s">
        <v>135</v>
      </c>
      <c r="E86" s="22" t="s">
        <v>29</v>
      </c>
      <c r="F86" s="19">
        <v>18000</v>
      </c>
      <c r="G86" s="20">
        <v>0</v>
      </c>
      <c r="H86" s="20">
        <v>25</v>
      </c>
      <c r="I86" s="20">
        <v>0</v>
      </c>
      <c r="J86" s="20">
        <v>0</v>
      </c>
      <c r="K86" s="20">
        <f t="shared" si="24"/>
        <v>516.6</v>
      </c>
      <c r="L86" s="20">
        <f t="shared" si="25"/>
        <v>1277.9999999999998</v>
      </c>
      <c r="M86" s="20">
        <v>234</v>
      </c>
      <c r="N86" s="20">
        <v>547.20000000000005</v>
      </c>
      <c r="O86" s="20">
        <v>1276.2</v>
      </c>
      <c r="P86" s="20">
        <v>0</v>
      </c>
      <c r="Q86" s="19">
        <f t="shared" si="26"/>
        <v>1063.8000000000002</v>
      </c>
      <c r="R86" s="19">
        <f t="shared" si="27"/>
        <v>1088.8000000000002</v>
      </c>
      <c r="S86" s="19">
        <f t="shared" si="28"/>
        <v>2788.2</v>
      </c>
      <c r="T86" s="19">
        <f t="shared" si="29"/>
        <v>16911.2</v>
      </c>
      <c r="U86" s="22" t="s">
        <v>36</v>
      </c>
    </row>
    <row r="87" spans="1:21" ht="15.75" customHeight="1">
      <c r="A87" s="21">
        <v>72</v>
      </c>
      <c r="B87" s="21" t="s">
        <v>136</v>
      </c>
      <c r="C87" s="21" t="s">
        <v>48</v>
      </c>
      <c r="D87" s="17" t="s">
        <v>52</v>
      </c>
      <c r="E87" s="22" t="s">
        <v>29</v>
      </c>
      <c r="F87" s="19">
        <v>20000</v>
      </c>
      <c r="G87" s="20">
        <v>0</v>
      </c>
      <c r="H87" s="20">
        <v>25</v>
      </c>
      <c r="I87" s="20">
        <v>0</v>
      </c>
      <c r="J87" s="20">
        <v>0</v>
      </c>
      <c r="K87" s="20">
        <f t="shared" si="24"/>
        <v>574</v>
      </c>
      <c r="L87" s="20">
        <f t="shared" si="25"/>
        <v>1419.9999999999998</v>
      </c>
      <c r="M87" s="20">
        <v>260</v>
      </c>
      <c r="N87" s="20">
        <v>608</v>
      </c>
      <c r="O87" s="20">
        <v>1418</v>
      </c>
      <c r="P87" s="20">
        <v>0</v>
      </c>
      <c r="Q87" s="19">
        <f t="shared" si="26"/>
        <v>1182</v>
      </c>
      <c r="R87" s="19">
        <f t="shared" si="27"/>
        <v>1207</v>
      </c>
      <c r="S87" s="19">
        <f t="shared" si="28"/>
        <v>3098</v>
      </c>
      <c r="T87" s="19">
        <f t="shared" si="29"/>
        <v>18793</v>
      </c>
      <c r="U87" s="22" t="s">
        <v>36</v>
      </c>
    </row>
    <row r="88" spans="1:21" ht="15.75" customHeight="1">
      <c r="A88" s="17">
        <v>73</v>
      </c>
      <c r="B88" s="21" t="s">
        <v>137</v>
      </c>
      <c r="C88" s="21" t="s">
        <v>138</v>
      </c>
      <c r="D88" s="17" t="s">
        <v>58</v>
      </c>
      <c r="E88" s="22" t="s">
        <v>29</v>
      </c>
      <c r="F88" s="19">
        <v>15000</v>
      </c>
      <c r="G88" s="20">
        <v>0</v>
      </c>
      <c r="H88" s="20">
        <v>25</v>
      </c>
      <c r="I88" s="20">
        <v>0</v>
      </c>
      <c r="J88" s="20">
        <v>0</v>
      </c>
      <c r="K88" s="20">
        <f t="shared" si="24"/>
        <v>430.5</v>
      </c>
      <c r="L88" s="20">
        <f t="shared" si="25"/>
        <v>1065</v>
      </c>
      <c r="M88" s="20">
        <v>195</v>
      </c>
      <c r="N88" s="20">
        <v>456</v>
      </c>
      <c r="O88" s="20">
        <v>1063.5</v>
      </c>
      <c r="P88" s="20">
        <v>0</v>
      </c>
      <c r="Q88" s="19">
        <f t="shared" si="26"/>
        <v>886.5</v>
      </c>
      <c r="R88" s="19">
        <f t="shared" si="27"/>
        <v>911.5</v>
      </c>
      <c r="S88" s="19">
        <f t="shared" si="28"/>
        <v>2323.5</v>
      </c>
      <c r="T88" s="19">
        <f t="shared" si="29"/>
        <v>14088.5</v>
      </c>
      <c r="U88" s="22" t="s">
        <v>30</v>
      </c>
    </row>
    <row r="89" spans="1:21" ht="15.75" customHeight="1">
      <c r="A89" s="21">
        <v>74</v>
      </c>
      <c r="B89" s="21" t="s">
        <v>139</v>
      </c>
      <c r="C89" s="21" t="s">
        <v>57</v>
      </c>
      <c r="D89" s="17" t="s">
        <v>58</v>
      </c>
      <c r="E89" s="22" t="s">
        <v>29</v>
      </c>
      <c r="F89" s="19">
        <v>15000</v>
      </c>
      <c r="G89" s="20">
        <v>0</v>
      </c>
      <c r="H89" s="20">
        <v>25</v>
      </c>
      <c r="I89" s="20">
        <v>0</v>
      </c>
      <c r="J89" s="20">
        <v>0</v>
      </c>
      <c r="K89" s="20">
        <f t="shared" si="24"/>
        <v>430.5</v>
      </c>
      <c r="L89" s="20">
        <f t="shared" si="25"/>
        <v>1065</v>
      </c>
      <c r="M89" s="20">
        <v>195</v>
      </c>
      <c r="N89" s="20">
        <v>456</v>
      </c>
      <c r="O89" s="20">
        <v>1063.5</v>
      </c>
      <c r="P89" s="20">
        <v>0</v>
      </c>
      <c r="Q89" s="19">
        <f t="shared" si="26"/>
        <v>886.5</v>
      </c>
      <c r="R89" s="19">
        <f t="shared" si="27"/>
        <v>911.5</v>
      </c>
      <c r="S89" s="19">
        <f t="shared" si="28"/>
        <v>2323.5</v>
      </c>
      <c r="T89" s="19">
        <f t="shared" si="29"/>
        <v>14088.5</v>
      </c>
      <c r="U89" s="22" t="s">
        <v>36</v>
      </c>
    </row>
    <row r="90" spans="1:21" ht="15.75" customHeight="1">
      <c r="A90" s="21">
        <v>75</v>
      </c>
      <c r="B90" s="21" t="s">
        <v>140</v>
      </c>
      <c r="C90" s="21" t="s">
        <v>77</v>
      </c>
      <c r="D90" s="17" t="s">
        <v>78</v>
      </c>
      <c r="E90" s="22" t="s">
        <v>29</v>
      </c>
      <c r="F90" s="19">
        <v>10000</v>
      </c>
      <c r="G90" s="20">
        <v>0</v>
      </c>
      <c r="H90" s="20">
        <v>25</v>
      </c>
      <c r="I90" s="20">
        <v>0</v>
      </c>
      <c r="J90" s="20">
        <v>0</v>
      </c>
      <c r="K90" s="20">
        <f t="shared" si="24"/>
        <v>287</v>
      </c>
      <c r="L90" s="20">
        <f t="shared" si="25"/>
        <v>709.99999999999989</v>
      </c>
      <c r="M90" s="20">
        <v>130</v>
      </c>
      <c r="N90" s="20">
        <v>304</v>
      </c>
      <c r="O90" s="20">
        <v>709</v>
      </c>
      <c r="P90" s="20">
        <v>0</v>
      </c>
      <c r="Q90" s="19">
        <f t="shared" si="26"/>
        <v>591</v>
      </c>
      <c r="R90" s="19">
        <f t="shared" si="27"/>
        <v>616</v>
      </c>
      <c r="S90" s="19">
        <f t="shared" si="28"/>
        <v>1549</v>
      </c>
      <c r="T90" s="19">
        <f t="shared" si="29"/>
        <v>9384</v>
      </c>
      <c r="U90" s="22" t="s">
        <v>30</v>
      </c>
    </row>
    <row r="91" spans="1:21" ht="15.75" customHeight="1">
      <c r="A91" s="17">
        <v>76</v>
      </c>
      <c r="B91" s="21" t="s">
        <v>141</v>
      </c>
      <c r="C91" s="21" t="s">
        <v>71</v>
      </c>
      <c r="D91" s="17" t="s">
        <v>72</v>
      </c>
      <c r="E91" s="22" t="s">
        <v>29</v>
      </c>
      <c r="F91" s="19">
        <v>10000</v>
      </c>
      <c r="G91" s="20">
        <v>0</v>
      </c>
      <c r="H91" s="20">
        <v>25</v>
      </c>
      <c r="I91" s="20">
        <v>0</v>
      </c>
      <c r="J91" s="20">
        <v>0</v>
      </c>
      <c r="K91" s="20">
        <f t="shared" si="24"/>
        <v>287</v>
      </c>
      <c r="L91" s="20">
        <f t="shared" si="25"/>
        <v>709.99999999999989</v>
      </c>
      <c r="M91" s="20">
        <v>130</v>
      </c>
      <c r="N91" s="20">
        <v>304</v>
      </c>
      <c r="O91" s="20">
        <v>709</v>
      </c>
      <c r="P91" s="20">
        <v>0</v>
      </c>
      <c r="Q91" s="19">
        <f t="shared" si="26"/>
        <v>591</v>
      </c>
      <c r="R91" s="19">
        <f t="shared" si="27"/>
        <v>616</v>
      </c>
      <c r="S91" s="19">
        <f t="shared" si="28"/>
        <v>1549</v>
      </c>
      <c r="T91" s="19">
        <f t="shared" si="29"/>
        <v>9384</v>
      </c>
      <c r="U91" s="22" t="s">
        <v>36</v>
      </c>
    </row>
    <row r="92" spans="1:21" ht="15.75" customHeight="1">
      <c r="A92" s="21">
        <v>77</v>
      </c>
      <c r="B92" s="21" t="s">
        <v>142</v>
      </c>
      <c r="C92" s="21" t="s">
        <v>143</v>
      </c>
      <c r="D92" s="17" t="s">
        <v>49</v>
      </c>
      <c r="E92" s="22" t="s">
        <v>29</v>
      </c>
      <c r="F92" s="19">
        <v>13000</v>
      </c>
      <c r="G92" s="20">
        <v>0</v>
      </c>
      <c r="H92" s="20">
        <v>25</v>
      </c>
      <c r="I92" s="20">
        <v>0</v>
      </c>
      <c r="J92" s="20">
        <f>1000+300</f>
        <v>1300</v>
      </c>
      <c r="K92" s="20">
        <f t="shared" si="24"/>
        <v>373.1</v>
      </c>
      <c r="L92" s="20">
        <f t="shared" si="25"/>
        <v>922.99999999999989</v>
      </c>
      <c r="M92" s="20">
        <v>169</v>
      </c>
      <c r="N92" s="20">
        <v>395.2</v>
      </c>
      <c r="O92" s="20">
        <v>921.7</v>
      </c>
      <c r="P92" s="20">
        <v>0</v>
      </c>
      <c r="Q92" s="19">
        <f t="shared" si="26"/>
        <v>768.3</v>
      </c>
      <c r="R92" s="19">
        <f t="shared" si="27"/>
        <v>2093.2999999999997</v>
      </c>
      <c r="S92" s="19">
        <f t="shared" si="28"/>
        <v>2013.7</v>
      </c>
      <c r="T92" s="19">
        <f t="shared" si="29"/>
        <v>10906.7</v>
      </c>
      <c r="U92" s="22" t="s">
        <v>36</v>
      </c>
    </row>
    <row r="93" spans="1:21" ht="15.75" customHeight="1">
      <c r="A93" s="21">
        <v>78</v>
      </c>
      <c r="B93" s="21" t="s">
        <v>144</v>
      </c>
      <c r="C93" s="21" t="s">
        <v>63</v>
      </c>
      <c r="D93" s="17" t="s">
        <v>98</v>
      </c>
      <c r="E93" s="22" t="s">
        <v>29</v>
      </c>
      <c r="F93" s="19">
        <v>20000</v>
      </c>
      <c r="G93" s="20">
        <v>0</v>
      </c>
      <c r="H93" s="20">
        <v>25</v>
      </c>
      <c r="I93" s="20">
        <v>0</v>
      </c>
      <c r="J93" s="20">
        <v>0</v>
      </c>
      <c r="K93" s="20">
        <f t="shared" si="24"/>
        <v>574</v>
      </c>
      <c r="L93" s="20">
        <f t="shared" si="25"/>
        <v>1419.9999999999998</v>
      </c>
      <c r="M93" s="20">
        <v>260</v>
      </c>
      <c r="N93" s="20">
        <v>608</v>
      </c>
      <c r="O93" s="20">
        <v>1418</v>
      </c>
      <c r="P93" s="20">
        <v>0</v>
      </c>
      <c r="Q93" s="19">
        <f t="shared" si="26"/>
        <v>1182</v>
      </c>
      <c r="R93" s="19">
        <f t="shared" si="27"/>
        <v>1207</v>
      </c>
      <c r="S93" s="19">
        <f t="shared" si="28"/>
        <v>3098</v>
      </c>
      <c r="T93" s="19">
        <f t="shared" si="29"/>
        <v>18793</v>
      </c>
      <c r="U93" s="22" t="s">
        <v>30</v>
      </c>
    </row>
    <row r="94" spans="1:21" ht="15.75" customHeight="1">
      <c r="A94" s="17">
        <v>79</v>
      </c>
      <c r="B94" s="21" t="s">
        <v>145</v>
      </c>
      <c r="C94" s="21" t="s">
        <v>146</v>
      </c>
      <c r="D94" s="17" t="s">
        <v>78</v>
      </c>
      <c r="E94" s="22" t="s">
        <v>29</v>
      </c>
      <c r="F94" s="19">
        <v>10000</v>
      </c>
      <c r="G94" s="20">
        <v>0</v>
      </c>
      <c r="H94" s="20">
        <v>25</v>
      </c>
      <c r="I94" s="20">
        <v>0</v>
      </c>
      <c r="J94" s="20">
        <v>0</v>
      </c>
      <c r="K94" s="20">
        <f t="shared" si="24"/>
        <v>287</v>
      </c>
      <c r="L94" s="20">
        <f t="shared" si="25"/>
        <v>709.99999999999989</v>
      </c>
      <c r="M94" s="20">
        <v>130</v>
      </c>
      <c r="N94" s="20">
        <v>304</v>
      </c>
      <c r="O94" s="20">
        <v>709</v>
      </c>
      <c r="P94" s="20">
        <v>0</v>
      </c>
      <c r="Q94" s="19">
        <f t="shared" si="26"/>
        <v>591</v>
      </c>
      <c r="R94" s="19">
        <f t="shared" si="27"/>
        <v>616</v>
      </c>
      <c r="S94" s="19">
        <f t="shared" si="28"/>
        <v>1549</v>
      </c>
      <c r="T94" s="19">
        <f t="shared" si="29"/>
        <v>9384</v>
      </c>
      <c r="U94" s="22" t="s">
        <v>30</v>
      </c>
    </row>
    <row r="95" spans="1:21" ht="15.75" customHeight="1">
      <c r="A95" s="21">
        <v>80</v>
      </c>
      <c r="B95" s="21" t="s">
        <v>147</v>
      </c>
      <c r="C95" s="21" t="s">
        <v>77</v>
      </c>
      <c r="D95" s="17" t="s">
        <v>78</v>
      </c>
      <c r="E95" s="22" t="s">
        <v>29</v>
      </c>
      <c r="F95" s="19">
        <v>10000</v>
      </c>
      <c r="G95" s="20">
        <v>0</v>
      </c>
      <c r="H95" s="20">
        <v>25</v>
      </c>
      <c r="I95" s="20">
        <v>0</v>
      </c>
      <c r="J95" s="20">
        <v>0</v>
      </c>
      <c r="K95" s="20">
        <f t="shared" si="24"/>
        <v>287</v>
      </c>
      <c r="L95" s="20">
        <f t="shared" si="25"/>
        <v>709.99999999999989</v>
      </c>
      <c r="M95" s="20">
        <v>130</v>
      </c>
      <c r="N95" s="20">
        <v>304</v>
      </c>
      <c r="O95" s="20">
        <v>709</v>
      </c>
      <c r="P95" s="20">
        <v>0</v>
      </c>
      <c r="Q95" s="19">
        <f t="shared" si="26"/>
        <v>591</v>
      </c>
      <c r="R95" s="19">
        <f t="shared" si="27"/>
        <v>616</v>
      </c>
      <c r="S95" s="19">
        <f t="shared" si="28"/>
        <v>1549</v>
      </c>
      <c r="T95" s="19">
        <f t="shared" si="29"/>
        <v>9384</v>
      </c>
      <c r="U95" s="22" t="s">
        <v>30</v>
      </c>
    </row>
    <row r="96" spans="1:21" ht="15.75" customHeight="1">
      <c r="A96" s="21">
        <v>81</v>
      </c>
      <c r="B96" s="21" t="s">
        <v>148</v>
      </c>
      <c r="C96" s="21" t="s">
        <v>68</v>
      </c>
      <c r="D96" s="21" t="s">
        <v>72</v>
      </c>
      <c r="E96" s="22" t="s">
        <v>29</v>
      </c>
      <c r="F96" s="19">
        <v>20000</v>
      </c>
      <c r="G96" s="20">
        <v>0</v>
      </c>
      <c r="H96" s="20">
        <v>25</v>
      </c>
      <c r="I96" s="20">
        <v>0</v>
      </c>
      <c r="J96" s="20">
        <v>0</v>
      </c>
      <c r="K96" s="20">
        <f t="shared" si="24"/>
        <v>574</v>
      </c>
      <c r="L96" s="20">
        <f t="shared" si="25"/>
        <v>1419.9999999999998</v>
      </c>
      <c r="M96" s="20">
        <v>260</v>
      </c>
      <c r="N96" s="20">
        <v>608</v>
      </c>
      <c r="O96" s="20">
        <v>1418</v>
      </c>
      <c r="P96" s="20">
        <v>0</v>
      </c>
      <c r="Q96" s="19">
        <f t="shared" si="26"/>
        <v>1182</v>
      </c>
      <c r="R96" s="19">
        <f t="shared" si="27"/>
        <v>1207</v>
      </c>
      <c r="S96" s="19">
        <f t="shared" si="28"/>
        <v>3098</v>
      </c>
      <c r="T96" s="19">
        <f t="shared" si="29"/>
        <v>18793</v>
      </c>
      <c r="U96" s="22" t="s">
        <v>36</v>
      </c>
    </row>
    <row r="97" spans="1:21" ht="15.75" customHeight="1">
      <c r="A97" s="17">
        <v>82</v>
      </c>
      <c r="B97" s="21" t="s">
        <v>149</v>
      </c>
      <c r="C97" s="21" t="s">
        <v>71</v>
      </c>
      <c r="D97" s="17" t="s">
        <v>72</v>
      </c>
      <c r="E97" s="22" t="s">
        <v>29</v>
      </c>
      <c r="F97" s="19">
        <v>10000</v>
      </c>
      <c r="G97" s="20">
        <v>0</v>
      </c>
      <c r="H97" s="20">
        <v>25</v>
      </c>
      <c r="I97" s="20">
        <v>0</v>
      </c>
      <c r="J97" s="20">
        <f>1000+300+4575.28</f>
        <v>5875.28</v>
      </c>
      <c r="K97" s="20">
        <f t="shared" si="24"/>
        <v>287</v>
      </c>
      <c r="L97" s="20">
        <f t="shared" si="25"/>
        <v>709.99999999999989</v>
      </c>
      <c r="M97" s="20">
        <v>130</v>
      </c>
      <c r="N97" s="20">
        <v>304</v>
      </c>
      <c r="O97" s="20">
        <v>709</v>
      </c>
      <c r="P97" s="20">
        <v>0</v>
      </c>
      <c r="Q97" s="19">
        <f t="shared" si="26"/>
        <v>591</v>
      </c>
      <c r="R97" s="19">
        <f t="shared" si="27"/>
        <v>6491.28</v>
      </c>
      <c r="S97" s="19">
        <f t="shared" si="28"/>
        <v>1549</v>
      </c>
      <c r="T97" s="19">
        <f t="shared" si="29"/>
        <v>3508.7200000000003</v>
      </c>
      <c r="U97" s="22" t="s">
        <v>36</v>
      </c>
    </row>
    <row r="98" spans="1:21" ht="15.75" customHeight="1">
      <c r="A98" s="21">
        <v>83</v>
      </c>
      <c r="B98" s="21" t="s">
        <v>150</v>
      </c>
      <c r="C98" s="21" t="s">
        <v>151</v>
      </c>
      <c r="D98" s="17" t="s">
        <v>55</v>
      </c>
      <c r="E98" s="22" t="s">
        <v>29</v>
      </c>
      <c r="F98" s="19">
        <v>25000</v>
      </c>
      <c r="G98" s="20">
        <v>0</v>
      </c>
      <c r="H98" s="20">
        <v>25</v>
      </c>
      <c r="I98" s="20">
        <v>0</v>
      </c>
      <c r="J98" s="20">
        <v>0</v>
      </c>
      <c r="K98" s="20">
        <f t="shared" si="24"/>
        <v>717.5</v>
      </c>
      <c r="L98" s="20">
        <f t="shared" si="25"/>
        <v>1774.9999999999998</v>
      </c>
      <c r="M98" s="20">
        <v>325</v>
      </c>
      <c r="N98" s="20">
        <v>760</v>
      </c>
      <c r="O98" s="20">
        <v>1772.5000000000002</v>
      </c>
      <c r="P98" s="20">
        <f>3174.76+786</f>
        <v>3960.76</v>
      </c>
      <c r="Q98" s="19">
        <f t="shared" si="26"/>
        <v>1477.5</v>
      </c>
      <c r="R98" s="19">
        <f t="shared" si="27"/>
        <v>5463.26</v>
      </c>
      <c r="S98" s="19">
        <f t="shared" si="28"/>
        <v>3872.5</v>
      </c>
      <c r="T98" s="19">
        <f t="shared" si="29"/>
        <v>19536.739999999998</v>
      </c>
      <c r="U98" s="22" t="s">
        <v>36</v>
      </c>
    </row>
    <row r="99" spans="1:21" ht="15.75" customHeight="1">
      <c r="A99" s="21">
        <v>84</v>
      </c>
      <c r="B99" s="21" t="s">
        <v>743</v>
      </c>
      <c r="C99" s="21" t="s">
        <v>63</v>
      </c>
      <c r="D99" s="17" t="s">
        <v>98</v>
      </c>
      <c r="E99" s="22" t="s">
        <v>29</v>
      </c>
      <c r="F99" s="19">
        <v>25000</v>
      </c>
      <c r="G99" s="20">
        <v>0</v>
      </c>
      <c r="H99" s="20">
        <v>25</v>
      </c>
      <c r="I99" s="20">
        <v>0</v>
      </c>
      <c r="J99" s="20">
        <v>0</v>
      </c>
      <c r="K99" s="20">
        <f t="shared" ref="K99" si="30">F99*2.87%</f>
        <v>717.5</v>
      </c>
      <c r="L99" s="20">
        <f t="shared" ref="L99" si="31">F99*7.1%</f>
        <v>1774.9999999999998</v>
      </c>
      <c r="M99" s="20">
        <v>325</v>
      </c>
      <c r="N99" s="20">
        <v>760</v>
      </c>
      <c r="O99" s="20">
        <v>1772.5000000000002</v>
      </c>
      <c r="P99" s="20">
        <v>0</v>
      </c>
      <c r="Q99" s="19">
        <f t="shared" ref="Q99" si="32">K99+N99</f>
        <v>1477.5</v>
      </c>
      <c r="R99" s="19">
        <f t="shared" ref="R99" si="33">G99+H99+I99+J99+K99+N99+P99</f>
        <v>1502.5</v>
      </c>
      <c r="S99" s="19">
        <f t="shared" ref="S99" si="34">L99+M99+O99</f>
        <v>3872.5</v>
      </c>
      <c r="T99" s="19">
        <f t="shared" ref="T99" si="35">F99-R99</f>
        <v>23497.5</v>
      </c>
      <c r="U99" s="22" t="s">
        <v>30</v>
      </c>
    </row>
    <row r="100" spans="1:21" ht="15.75" customHeight="1">
      <c r="A100" s="17">
        <v>85</v>
      </c>
      <c r="B100" s="21" t="s">
        <v>152</v>
      </c>
      <c r="C100" s="21" t="s">
        <v>63</v>
      </c>
      <c r="D100" s="17" t="s">
        <v>61</v>
      </c>
      <c r="E100" s="22" t="s">
        <v>29</v>
      </c>
      <c r="F100" s="19">
        <v>25000</v>
      </c>
      <c r="G100" s="20">
        <v>0</v>
      </c>
      <c r="H100" s="20">
        <v>25</v>
      </c>
      <c r="I100" s="20">
        <v>0</v>
      </c>
      <c r="J100" s="20">
        <v>0</v>
      </c>
      <c r="K100" s="20">
        <f t="shared" si="24"/>
        <v>717.5</v>
      </c>
      <c r="L100" s="20">
        <f t="shared" si="25"/>
        <v>1774.9999999999998</v>
      </c>
      <c r="M100" s="20">
        <v>325</v>
      </c>
      <c r="N100" s="20">
        <v>760</v>
      </c>
      <c r="O100" s="20">
        <v>1772.5000000000002</v>
      </c>
      <c r="P100" s="20">
        <v>0</v>
      </c>
      <c r="Q100" s="19">
        <f t="shared" si="26"/>
        <v>1477.5</v>
      </c>
      <c r="R100" s="19">
        <f t="shared" si="27"/>
        <v>1502.5</v>
      </c>
      <c r="S100" s="19">
        <f t="shared" si="28"/>
        <v>3872.5</v>
      </c>
      <c r="T100" s="19">
        <f t="shared" si="29"/>
        <v>23497.5</v>
      </c>
      <c r="U100" s="22" t="s">
        <v>30</v>
      </c>
    </row>
    <row r="101" spans="1:21" ht="15.75" customHeight="1">
      <c r="A101" s="21">
        <v>86</v>
      </c>
      <c r="B101" s="21" t="s">
        <v>153</v>
      </c>
      <c r="C101" s="21" t="s">
        <v>154</v>
      </c>
      <c r="D101" s="17" t="s">
        <v>58</v>
      </c>
      <c r="E101" s="22" t="s">
        <v>29</v>
      </c>
      <c r="F101" s="19">
        <v>18000</v>
      </c>
      <c r="G101" s="20">
        <v>0</v>
      </c>
      <c r="H101" s="20">
        <v>25</v>
      </c>
      <c r="I101" s="20">
        <v>0</v>
      </c>
      <c r="J101" s="20">
        <v>0</v>
      </c>
      <c r="K101" s="20">
        <f t="shared" si="24"/>
        <v>516.6</v>
      </c>
      <c r="L101" s="20">
        <f t="shared" si="25"/>
        <v>1277.9999999999998</v>
      </c>
      <c r="M101" s="20">
        <v>234</v>
      </c>
      <c r="N101" s="20">
        <v>547.20000000000005</v>
      </c>
      <c r="O101" s="20">
        <v>1276.2</v>
      </c>
      <c r="P101" s="20">
        <v>0</v>
      </c>
      <c r="Q101" s="19">
        <f t="shared" si="26"/>
        <v>1063.8000000000002</v>
      </c>
      <c r="R101" s="19">
        <f t="shared" si="27"/>
        <v>1088.8000000000002</v>
      </c>
      <c r="S101" s="19">
        <f t="shared" si="28"/>
        <v>2788.2</v>
      </c>
      <c r="T101" s="19">
        <f t="shared" si="29"/>
        <v>16911.2</v>
      </c>
      <c r="U101" s="22" t="s">
        <v>30</v>
      </c>
    </row>
    <row r="102" spans="1:21" ht="15.75" customHeight="1">
      <c r="A102" s="21">
        <v>87</v>
      </c>
      <c r="B102" s="21" t="s">
        <v>155</v>
      </c>
      <c r="C102" s="21" t="s">
        <v>77</v>
      </c>
      <c r="D102" s="17" t="s">
        <v>78</v>
      </c>
      <c r="E102" s="22" t="s">
        <v>29</v>
      </c>
      <c r="F102" s="19">
        <v>18000</v>
      </c>
      <c r="G102" s="20">
        <v>0</v>
      </c>
      <c r="H102" s="20">
        <v>25</v>
      </c>
      <c r="I102" s="20">
        <v>0</v>
      </c>
      <c r="J102" s="20">
        <v>0</v>
      </c>
      <c r="K102" s="20">
        <f t="shared" si="24"/>
        <v>516.6</v>
      </c>
      <c r="L102" s="20">
        <f t="shared" si="25"/>
        <v>1277.9999999999998</v>
      </c>
      <c r="M102" s="20">
        <v>234</v>
      </c>
      <c r="N102" s="20">
        <v>547.20000000000005</v>
      </c>
      <c r="O102" s="20">
        <v>1276.2</v>
      </c>
      <c r="P102" s="20">
        <v>0</v>
      </c>
      <c r="Q102" s="19">
        <f t="shared" si="26"/>
        <v>1063.8000000000002</v>
      </c>
      <c r="R102" s="19">
        <f t="shared" si="27"/>
        <v>1088.8000000000002</v>
      </c>
      <c r="S102" s="19">
        <f t="shared" si="28"/>
        <v>2788.2</v>
      </c>
      <c r="T102" s="19">
        <f t="shared" si="29"/>
        <v>16911.2</v>
      </c>
      <c r="U102" s="22" t="s">
        <v>30</v>
      </c>
    </row>
    <row r="103" spans="1:21" ht="15.75" customHeight="1">
      <c r="A103" s="17">
        <v>88</v>
      </c>
      <c r="B103" s="21" t="s">
        <v>156</v>
      </c>
      <c r="C103" s="21" t="s">
        <v>157</v>
      </c>
      <c r="D103" s="17" t="s">
        <v>98</v>
      </c>
      <c r="E103" s="22" t="s">
        <v>29</v>
      </c>
      <c r="F103" s="19">
        <v>18000</v>
      </c>
      <c r="G103" s="20">
        <v>0</v>
      </c>
      <c r="H103" s="20">
        <v>25</v>
      </c>
      <c r="I103" s="20">
        <v>0</v>
      </c>
      <c r="J103" s="20">
        <v>0</v>
      </c>
      <c r="K103" s="20">
        <f t="shared" si="24"/>
        <v>516.6</v>
      </c>
      <c r="L103" s="20">
        <f t="shared" si="25"/>
        <v>1277.9999999999998</v>
      </c>
      <c r="M103" s="20">
        <v>234</v>
      </c>
      <c r="N103" s="20">
        <v>547.20000000000005</v>
      </c>
      <c r="O103" s="20">
        <v>1276.2</v>
      </c>
      <c r="P103" s="20">
        <v>0</v>
      </c>
      <c r="Q103" s="19">
        <f t="shared" si="26"/>
        <v>1063.8000000000002</v>
      </c>
      <c r="R103" s="19">
        <f t="shared" si="27"/>
        <v>1088.8000000000002</v>
      </c>
      <c r="S103" s="19">
        <f t="shared" si="28"/>
        <v>2788.2</v>
      </c>
      <c r="T103" s="19">
        <f t="shared" si="29"/>
        <v>16911.2</v>
      </c>
      <c r="U103" s="22" t="s">
        <v>30</v>
      </c>
    </row>
    <row r="104" spans="1:21" ht="15.75" customHeight="1">
      <c r="A104" s="21">
        <v>89</v>
      </c>
      <c r="B104" s="21" t="s">
        <v>158</v>
      </c>
      <c r="C104" s="21" t="s">
        <v>77</v>
      </c>
      <c r="D104" s="21" t="s">
        <v>159</v>
      </c>
      <c r="E104" s="22" t="s">
        <v>29</v>
      </c>
      <c r="F104" s="19">
        <v>12000</v>
      </c>
      <c r="G104" s="20">
        <v>0</v>
      </c>
      <c r="H104" s="20">
        <v>25</v>
      </c>
      <c r="I104" s="20">
        <v>0</v>
      </c>
      <c r="J104" s="20">
        <v>0</v>
      </c>
      <c r="K104" s="20">
        <f t="shared" si="24"/>
        <v>344.4</v>
      </c>
      <c r="L104" s="20">
        <f t="shared" si="25"/>
        <v>851.99999999999989</v>
      </c>
      <c r="M104" s="20">
        <v>156</v>
      </c>
      <c r="N104" s="20">
        <v>364.8</v>
      </c>
      <c r="O104" s="20">
        <v>850.80000000000007</v>
      </c>
      <c r="P104" s="20">
        <v>0</v>
      </c>
      <c r="Q104" s="19">
        <f t="shared" si="26"/>
        <v>709.2</v>
      </c>
      <c r="R104" s="19">
        <f t="shared" si="27"/>
        <v>734.2</v>
      </c>
      <c r="S104" s="19">
        <f t="shared" si="28"/>
        <v>1858.8</v>
      </c>
      <c r="T104" s="19">
        <f t="shared" si="29"/>
        <v>11265.8</v>
      </c>
      <c r="U104" s="22" t="s">
        <v>30</v>
      </c>
    </row>
    <row r="105" spans="1:21" ht="15.75" customHeight="1">
      <c r="A105" s="21">
        <v>90</v>
      </c>
      <c r="B105" s="21" t="s">
        <v>746</v>
      </c>
      <c r="C105" s="21" t="s">
        <v>60</v>
      </c>
      <c r="D105" s="21" t="s">
        <v>61</v>
      </c>
      <c r="E105" s="22" t="s">
        <v>29</v>
      </c>
      <c r="F105" s="19">
        <v>30000</v>
      </c>
      <c r="G105" s="20">
        <v>0</v>
      </c>
      <c r="H105" s="20">
        <v>25</v>
      </c>
      <c r="I105" s="20">
        <v>0</v>
      </c>
      <c r="J105" s="20">
        <v>0</v>
      </c>
      <c r="K105" s="20">
        <f t="shared" ref="K105" si="36">F105*2.87%</f>
        <v>861</v>
      </c>
      <c r="L105" s="20">
        <f t="shared" ref="L105" si="37">F105*7.1%</f>
        <v>2130</v>
      </c>
      <c r="M105" s="20">
        <v>390</v>
      </c>
      <c r="N105" s="20">
        <v>912</v>
      </c>
      <c r="O105" s="20">
        <v>2127</v>
      </c>
      <c r="P105" s="20">
        <v>0</v>
      </c>
      <c r="Q105" s="19">
        <f t="shared" ref="Q105" si="38">K105+N105</f>
        <v>1773</v>
      </c>
      <c r="R105" s="19">
        <f t="shared" ref="R105" si="39">G105+H105+I105+J105+K105+N105+P105</f>
        <v>1798</v>
      </c>
      <c r="S105" s="19">
        <f t="shared" ref="S105" si="40">L105+M105+O105</f>
        <v>4647</v>
      </c>
      <c r="T105" s="19">
        <f t="shared" ref="T105" si="41">F105-R105</f>
        <v>28202</v>
      </c>
      <c r="U105" s="22" t="s">
        <v>30</v>
      </c>
    </row>
    <row r="106" spans="1:21" ht="15.75" customHeight="1">
      <c r="A106" s="17">
        <v>91</v>
      </c>
      <c r="B106" s="21" t="s">
        <v>160</v>
      </c>
      <c r="C106" s="21" t="s">
        <v>60</v>
      </c>
      <c r="D106" s="21" t="s">
        <v>72</v>
      </c>
      <c r="E106" s="22" t="s">
        <v>29</v>
      </c>
      <c r="F106" s="19">
        <v>30000</v>
      </c>
      <c r="G106" s="20">
        <v>0</v>
      </c>
      <c r="H106" s="20">
        <v>25</v>
      </c>
      <c r="I106" s="20">
        <v>0</v>
      </c>
      <c r="J106" s="20">
        <v>0</v>
      </c>
      <c r="K106" s="20">
        <f t="shared" si="24"/>
        <v>861</v>
      </c>
      <c r="L106" s="20">
        <f t="shared" si="25"/>
        <v>2130</v>
      </c>
      <c r="M106" s="20">
        <v>390</v>
      </c>
      <c r="N106" s="20">
        <v>912</v>
      </c>
      <c r="O106" s="20">
        <v>2127</v>
      </c>
      <c r="P106" s="20">
        <v>0</v>
      </c>
      <c r="Q106" s="19">
        <f t="shared" si="26"/>
        <v>1773</v>
      </c>
      <c r="R106" s="19">
        <f t="shared" si="27"/>
        <v>1798</v>
      </c>
      <c r="S106" s="19">
        <f t="shared" si="28"/>
        <v>4647</v>
      </c>
      <c r="T106" s="19">
        <f t="shared" si="29"/>
        <v>28202</v>
      </c>
      <c r="U106" s="22" t="s">
        <v>30</v>
      </c>
    </row>
    <row r="107" spans="1:21" ht="15.75" customHeight="1">
      <c r="A107" s="21">
        <v>92</v>
      </c>
      <c r="B107" s="21" t="s">
        <v>161</v>
      </c>
      <c r="C107" s="21" t="s">
        <v>68</v>
      </c>
      <c r="D107" s="21" t="s">
        <v>49</v>
      </c>
      <c r="E107" s="22" t="s">
        <v>29</v>
      </c>
      <c r="F107" s="19">
        <v>18000</v>
      </c>
      <c r="G107" s="20">
        <v>0</v>
      </c>
      <c r="H107" s="20">
        <v>25</v>
      </c>
      <c r="I107" s="20">
        <v>0</v>
      </c>
      <c r="J107" s="20">
        <v>0</v>
      </c>
      <c r="K107" s="20">
        <f t="shared" si="24"/>
        <v>516.6</v>
      </c>
      <c r="L107" s="20">
        <f t="shared" si="25"/>
        <v>1277.9999999999998</v>
      </c>
      <c r="M107" s="20">
        <v>234</v>
      </c>
      <c r="N107" s="20">
        <v>547.20000000000005</v>
      </c>
      <c r="O107" s="20">
        <v>1276.2</v>
      </c>
      <c r="P107" s="20">
        <v>0</v>
      </c>
      <c r="Q107" s="19">
        <f t="shared" si="26"/>
        <v>1063.8000000000002</v>
      </c>
      <c r="R107" s="19">
        <f t="shared" si="27"/>
        <v>1088.8000000000002</v>
      </c>
      <c r="S107" s="19">
        <f t="shared" si="28"/>
        <v>2788.2</v>
      </c>
      <c r="T107" s="19">
        <f t="shared" si="29"/>
        <v>16911.2</v>
      </c>
      <c r="U107" s="22" t="s">
        <v>36</v>
      </c>
    </row>
    <row r="108" spans="1:21" ht="15.75" customHeight="1">
      <c r="A108" s="21">
        <v>93</v>
      </c>
      <c r="B108" s="21" t="s">
        <v>162</v>
      </c>
      <c r="C108" s="21" t="s">
        <v>68</v>
      </c>
      <c r="D108" s="21" t="s">
        <v>72</v>
      </c>
      <c r="E108" s="22" t="s">
        <v>29</v>
      </c>
      <c r="F108" s="19">
        <v>25000</v>
      </c>
      <c r="G108" s="20">
        <v>0</v>
      </c>
      <c r="H108" s="20">
        <v>25</v>
      </c>
      <c r="I108" s="20">
        <v>0</v>
      </c>
      <c r="J108" s="20">
        <v>0</v>
      </c>
      <c r="K108" s="20">
        <f t="shared" si="24"/>
        <v>717.5</v>
      </c>
      <c r="L108" s="20">
        <f t="shared" si="25"/>
        <v>1774.9999999999998</v>
      </c>
      <c r="M108" s="20">
        <v>325</v>
      </c>
      <c r="N108" s="20">
        <v>760</v>
      </c>
      <c r="O108" s="20">
        <v>1772.5000000000002</v>
      </c>
      <c r="P108" s="20">
        <v>0</v>
      </c>
      <c r="Q108" s="19">
        <f t="shared" si="26"/>
        <v>1477.5</v>
      </c>
      <c r="R108" s="19">
        <f t="shared" si="27"/>
        <v>1502.5</v>
      </c>
      <c r="S108" s="19">
        <f t="shared" si="28"/>
        <v>3872.5</v>
      </c>
      <c r="T108" s="19">
        <f t="shared" si="29"/>
        <v>23497.5</v>
      </c>
      <c r="U108" s="22" t="s">
        <v>30</v>
      </c>
    </row>
    <row r="109" spans="1:21" ht="15.75" customHeight="1">
      <c r="A109" s="17">
        <v>94</v>
      </c>
      <c r="B109" s="21" t="s">
        <v>163</v>
      </c>
      <c r="C109" s="21" t="s">
        <v>63</v>
      </c>
      <c r="D109" s="21" t="s">
        <v>98</v>
      </c>
      <c r="E109" s="22" t="s">
        <v>29</v>
      </c>
      <c r="F109" s="19">
        <v>22000</v>
      </c>
      <c r="G109" s="20">
        <v>0</v>
      </c>
      <c r="H109" s="20">
        <v>25</v>
      </c>
      <c r="I109" s="20">
        <v>0</v>
      </c>
      <c r="J109" s="20">
        <f>1700+1000+6503.08</f>
        <v>9203.08</v>
      </c>
      <c r="K109" s="20">
        <f t="shared" si="24"/>
        <v>631.4</v>
      </c>
      <c r="L109" s="20">
        <f t="shared" si="25"/>
        <v>1561.9999999999998</v>
      </c>
      <c r="M109" s="20">
        <v>286</v>
      </c>
      <c r="N109" s="20">
        <v>668.8</v>
      </c>
      <c r="O109" s="20">
        <v>1559.8000000000002</v>
      </c>
      <c r="P109" s="20">
        <v>0</v>
      </c>
      <c r="Q109" s="19">
        <f t="shared" si="26"/>
        <v>1300.1999999999998</v>
      </c>
      <c r="R109" s="19">
        <f t="shared" si="27"/>
        <v>10528.279999999999</v>
      </c>
      <c r="S109" s="19">
        <f t="shared" si="28"/>
        <v>3407.8</v>
      </c>
      <c r="T109" s="19">
        <f t="shared" si="29"/>
        <v>11471.720000000001</v>
      </c>
      <c r="U109" s="22" t="s">
        <v>30</v>
      </c>
    </row>
    <row r="110" spans="1:21" ht="15.75" customHeight="1">
      <c r="A110" s="21">
        <v>95</v>
      </c>
      <c r="B110" s="21" t="s">
        <v>164</v>
      </c>
      <c r="C110" s="21" t="s">
        <v>63</v>
      </c>
      <c r="D110" s="21" t="s">
        <v>98</v>
      </c>
      <c r="E110" s="22" t="s">
        <v>29</v>
      </c>
      <c r="F110" s="19">
        <v>20000</v>
      </c>
      <c r="G110" s="20">
        <v>0</v>
      </c>
      <c r="H110" s="20">
        <v>25</v>
      </c>
      <c r="I110" s="20">
        <v>0</v>
      </c>
      <c r="J110" s="20">
        <f>500+1000+2171.51+896.64</f>
        <v>4568.1500000000005</v>
      </c>
      <c r="K110" s="20">
        <f t="shared" si="24"/>
        <v>574</v>
      </c>
      <c r="L110" s="20">
        <f t="shared" si="25"/>
        <v>1419.9999999999998</v>
      </c>
      <c r="M110" s="20">
        <v>260</v>
      </c>
      <c r="N110" s="20">
        <v>608</v>
      </c>
      <c r="O110" s="20">
        <v>1418</v>
      </c>
      <c r="P110" s="20">
        <v>0</v>
      </c>
      <c r="Q110" s="19">
        <f t="shared" si="26"/>
        <v>1182</v>
      </c>
      <c r="R110" s="19">
        <f t="shared" si="27"/>
        <v>5775.1500000000005</v>
      </c>
      <c r="S110" s="19">
        <f t="shared" si="28"/>
        <v>3098</v>
      </c>
      <c r="T110" s="19">
        <f t="shared" si="29"/>
        <v>14224.849999999999</v>
      </c>
      <c r="U110" s="22" t="s">
        <v>30</v>
      </c>
    </row>
    <row r="111" spans="1:21" ht="15.75" customHeight="1">
      <c r="A111" s="21">
        <v>96</v>
      </c>
      <c r="B111" s="21" t="s">
        <v>165</v>
      </c>
      <c r="C111" s="21" t="s">
        <v>66</v>
      </c>
      <c r="D111" s="21" t="s">
        <v>52</v>
      </c>
      <c r="E111" s="22" t="s">
        <v>29</v>
      </c>
      <c r="F111" s="19">
        <v>22100</v>
      </c>
      <c r="G111" s="20">
        <v>0</v>
      </c>
      <c r="H111" s="20">
        <v>25</v>
      </c>
      <c r="I111" s="20">
        <v>0</v>
      </c>
      <c r="J111" s="20">
        <f>700+300</f>
        <v>1000</v>
      </c>
      <c r="K111" s="20">
        <f t="shared" si="24"/>
        <v>634.27</v>
      </c>
      <c r="L111" s="20">
        <f t="shared" si="25"/>
        <v>1569.1</v>
      </c>
      <c r="M111" s="20">
        <v>287.3</v>
      </c>
      <c r="N111" s="20">
        <v>671.84</v>
      </c>
      <c r="O111" s="20">
        <v>1566.89</v>
      </c>
      <c r="P111" s="20">
        <v>0</v>
      </c>
      <c r="Q111" s="19">
        <f t="shared" si="26"/>
        <v>1306.1100000000001</v>
      </c>
      <c r="R111" s="19">
        <f t="shared" si="27"/>
        <v>2331.11</v>
      </c>
      <c r="S111" s="19">
        <f t="shared" si="28"/>
        <v>3423.29</v>
      </c>
      <c r="T111" s="19">
        <f t="shared" si="29"/>
        <v>19768.89</v>
      </c>
      <c r="U111" s="22" t="s">
        <v>30</v>
      </c>
    </row>
    <row r="112" spans="1:21" ht="15.75" customHeight="1">
      <c r="A112" s="17">
        <v>97</v>
      </c>
      <c r="B112" s="21" t="s">
        <v>166</v>
      </c>
      <c r="C112" s="21" t="s">
        <v>77</v>
      </c>
      <c r="D112" s="21" t="s">
        <v>78</v>
      </c>
      <c r="E112" s="22" t="s">
        <v>29</v>
      </c>
      <c r="F112" s="19">
        <v>10000</v>
      </c>
      <c r="G112" s="20">
        <v>0</v>
      </c>
      <c r="H112" s="20">
        <v>25</v>
      </c>
      <c r="I112" s="20">
        <v>0</v>
      </c>
      <c r="J112" s="20">
        <v>0</v>
      </c>
      <c r="K112" s="20">
        <f t="shared" si="24"/>
        <v>287</v>
      </c>
      <c r="L112" s="20">
        <f t="shared" si="25"/>
        <v>709.99999999999989</v>
      </c>
      <c r="M112" s="20">
        <v>130</v>
      </c>
      <c r="N112" s="20">
        <v>304</v>
      </c>
      <c r="O112" s="20">
        <v>709</v>
      </c>
      <c r="P112" s="20">
        <v>0</v>
      </c>
      <c r="Q112" s="19">
        <f t="shared" si="26"/>
        <v>591</v>
      </c>
      <c r="R112" s="19">
        <f t="shared" si="27"/>
        <v>616</v>
      </c>
      <c r="S112" s="19">
        <f t="shared" si="28"/>
        <v>1549</v>
      </c>
      <c r="T112" s="19">
        <f t="shared" si="29"/>
        <v>9384</v>
      </c>
      <c r="U112" s="22" t="s">
        <v>36</v>
      </c>
    </row>
    <row r="113" spans="1:21" ht="15.75" customHeight="1">
      <c r="A113" s="21">
        <v>98</v>
      </c>
      <c r="B113" s="21" t="s">
        <v>167</v>
      </c>
      <c r="C113" s="21" t="s">
        <v>146</v>
      </c>
      <c r="D113" s="21" t="s">
        <v>98</v>
      </c>
      <c r="E113" s="22" t="s">
        <v>29</v>
      </c>
      <c r="F113" s="19">
        <v>30000</v>
      </c>
      <c r="G113" s="20">
        <v>0</v>
      </c>
      <c r="H113" s="20">
        <v>25</v>
      </c>
      <c r="I113" s="20">
        <v>0</v>
      </c>
      <c r="J113" s="20">
        <v>0</v>
      </c>
      <c r="K113" s="20">
        <f t="shared" si="24"/>
        <v>861</v>
      </c>
      <c r="L113" s="20">
        <f t="shared" si="25"/>
        <v>2130</v>
      </c>
      <c r="M113" s="20">
        <v>390</v>
      </c>
      <c r="N113" s="20">
        <v>912</v>
      </c>
      <c r="O113" s="20">
        <v>2127</v>
      </c>
      <c r="P113" s="20">
        <v>0</v>
      </c>
      <c r="Q113" s="19">
        <f t="shared" si="26"/>
        <v>1773</v>
      </c>
      <c r="R113" s="19">
        <f t="shared" si="27"/>
        <v>1798</v>
      </c>
      <c r="S113" s="19">
        <f t="shared" si="28"/>
        <v>4647</v>
      </c>
      <c r="T113" s="19">
        <f t="shared" si="29"/>
        <v>28202</v>
      </c>
      <c r="U113" s="22" t="s">
        <v>30</v>
      </c>
    </row>
    <row r="114" spans="1:21" ht="15.75" customHeight="1">
      <c r="A114" s="21">
        <v>99</v>
      </c>
      <c r="B114" s="21" t="s">
        <v>168</v>
      </c>
      <c r="C114" s="21" t="s">
        <v>68</v>
      </c>
      <c r="D114" s="21" t="s">
        <v>98</v>
      </c>
      <c r="E114" s="22" t="s">
        <v>29</v>
      </c>
      <c r="F114" s="19">
        <v>14000</v>
      </c>
      <c r="G114" s="20">
        <v>0</v>
      </c>
      <c r="H114" s="20">
        <v>25</v>
      </c>
      <c r="I114" s="20">
        <v>0</v>
      </c>
      <c r="J114" s="20">
        <f>700+1000+4254.47</f>
        <v>5954.47</v>
      </c>
      <c r="K114" s="20">
        <f t="shared" si="24"/>
        <v>401.8</v>
      </c>
      <c r="L114" s="20">
        <f t="shared" si="25"/>
        <v>993.99999999999989</v>
      </c>
      <c r="M114" s="20">
        <v>182</v>
      </c>
      <c r="N114" s="20">
        <v>425.6</v>
      </c>
      <c r="O114" s="20">
        <v>992.6</v>
      </c>
      <c r="P114" s="20">
        <v>0</v>
      </c>
      <c r="Q114" s="19">
        <f t="shared" si="26"/>
        <v>827.40000000000009</v>
      </c>
      <c r="R114" s="19">
        <f t="shared" si="27"/>
        <v>6806.8700000000008</v>
      </c>
      <c r="S114" s="19">
        <f t="shared" si="28"/>
        <v>2168.6</v>
      </c>
      <c r="T114" s="19">
        <f t="shared" si="29"/>
        <v>7193.1299999999992</v>
      </c>
      <c r="U114" s="22" t="s">
        <v>30</v>
      </c>
    </row>
    <row r="115" spans="1:21" ht="15.75" customHeight="1">
      <c r="A115" s="17">
        <v>100</v>
      </c>
      <c r="B115" s="21" t="s">
        <v>169</v>
      </c>
      <c r="C115" s="21" t="s">
        <v>77</v>
      </c>
      <c r="D115" s="21" t="s">
        <v>64</v>
      </c>
      <c r="E115" s="22" t="s">
        <v>29</v>
      </c>
      <c r="F115" s="19">
        <v>10000</v>
      </c>
      <c r="G115" s="20">
        <v>0</v>
      </c>
      <c r="H115" s="20">
        <v>25</v>
      </c>
      <c r="I115" s="20">
        <v>0</v>
      </c>
      <c r="J115" s="20">
        <v>0</v>
      </c>
      <c r="K115" s="20">
        <f t="shared" si="24"/>
        <v>287</v>
      </c>
      <c r="L115" s="20">
        <f t="shared" si="25"/>
        <v>709.99999999999989</v>
      </c>
      <c r="M115" s="20">
        <v>130</v>
      </c>
      <c r="N115" s="20">
        <v>304</v>
      </c>
      <c r="O115" s="20">
        <v>709</v>
      </c>
      <c r="P115" s="20">
        <v>0</v>
      </c>
      <c r="Q115" s="19">
        <f t="shared" si="26"/>
        <v>591</v>
      </c>
      <c r="R115" s="19">
        <f t="shared" si="27"/>
        <v>616</v>
      </c>
      <c r="S115" s="19">
        <f t="shared" si="28"/>
        <v>1549</v>
      </c>
      <c r="T115" s="19">
        <f t="shared" si="29"/>
        <v>9384</v>
      </c>
      <c r="U115" s="22" t="s">
        <v>30</v>
      </c>
    </row>
    <row r="116" spans="1:21" ht="15.75" customHeight="1">
      <c r="A116" s="21">
        <v>101</v>
      </c>
      <c r="B116" s="21" t="s">
        <v>170</v>
      </c>
      <c r="C116" s="21" t="s">
        <v>171</v>
      </c>
      <c r="D116" s="21" t="s">
        <v>172</v>
      </c>
      <c r="E116" s="22" t="s">
        <v>29</v>
      </c>
      <c r="F116" s="19">
        <v>18000</v>
      </c>
      <c r="G116" s="20">
        <v>0</v>
      </c>
      <c r="H116" s="20">
        <v>25</v>
      </c>
      <c r="I116" s="20">
        <v>0</v>
      </c>
      <c r="J116" s="20">
        <f>1000+300+10093.7</f>
        <v>11393.7</v>
      </c>
      <c r="K116" s="20">
        <f t="shared" si="24"/>
        <v>516.6</v>
      </c>
      <c r="L116" s="20">
        <f t="shared" si="25"/>
        <v>1277.9999999999998</v>
      </c>
      <c r="M116" s="20">
        <v>234</v>
      </c>
      <c r="N116" s="20">
        <v>547.20000000000005</v>
      </c>
      <c r="O116" s="20">
        <v>1276.2</v>
      </c>
      <c r="P116" s="20">
        <v>0</v>
      </c>
      <c r="Q116" s="19">
        <f t="shared" si="26"/>
        <v>1063.8000000000002</v>
      </c>
      <c r="R116" s="19">
        <f t="shared" si="27"/>
        <v>12482.500000000002</v>
      </c>
      <c r="S116" s="19">
        <f t="shared" si="28"/>
        <v>2788.2</v>
      </c>
      <c r="T116" s="19">
        <f t="shared" si="29"/>
        <v>5517.4999999999982</v>
      </c>
      <c r="U116" s="22" t="s">
        <v>30</v>
      </c>
    </row>
    <row r="117" spans="1:21" ht="15.75" customHeight="1">
      <c r="A117" s="21">
        <v>102</v>
      </c>
      <c r="B117" s="21" t="s">
        <v>173</v>
      </c>
      <c r="C117" s="21" t="s">
        <v>51</v>
      </c>
      <c r="D117" s="21" t="s">
        <v>52</v>
      </c>
      <c r="E117" s="22" t="s">
        <v>29</v>
      </c>
      <c r="F117" s="19">
        <v>20000</v>
      </c>
      <c r="G117" s="20">
        <v>0</v>
      </c>
      <c r="H117" s="20">
        <v>25</v>
      </c>
      <c r="I117" s="20">
        <v>0</v>
      </c>
      <c r="J117" s="20">
        <v>0</v>
      </c>
      <c r="K117" s="20">
        <f t="shared" si="24"/>
        <v>574</v>
      </c>
      <c r="L117" s="20">
        <f t="shared" si="25"/>
        <v>1419.9999999999998</v>
      </c>
      <c r="M117" s="20">
        <v>260</v>
      </c>
      <c r="N117" s="20">
        <v>608</v>
      </c>
      <c r="O117" s="20">
        <v>1418</v>
      </c>
      <c r="P117" s="20">
        <v>0</v>
      </c>
      <c r="Q117" s="19">
        <f t="shared" si="26"/>
        <v>1182</v>
      </c>
      <c r="R117" s="19">
        <f t="shared" si="27"/>
        <v>1207</v>
      </c>
      <c r="S117" s="19">
        <f t="shared" si="28"/>
        <v>3098</v>
      </c>
      <c r="T117" s="19">
        <f t="shared" si="29"/>
        <v>18793</v>
      </c>
      <c r="U117" s="22" t="s">
        <v>30</v>
      </c>
    </row>
    <row r="118" spans="1:21" ht="15.75" customHeight="1">
      <c r="A118" s="17">
        <v>103</v>
      </c>
      <c r="B118" s="21" t="s">
        <v>174</v>
      </c>
      <c r="C118" s="21" t="s">
        <v>51</v>
      </c>
      <c r="D118" s="21" t="s">
        <v>52</v>
      </c>
      <c r="E118" s="22" t="s">
        <v>29</v>
      </c>
      <c r="F118" s="19">
        <v>10000</v>
      </c>
      <c r="G118" s="20">
        <v>0</v>
      </c>
      <c r="H118" s="20">
        <v>25</v>
      </c>
      <c r="I118" s="20">
        <v>0</v>
      </c>
      <c r="J118" s="20">
        <v>0</v>
      </c>
      <c r="K118" s="20">
        <f t="shared" si="24"/>
        <v>287</v>
      </c>
      <c r="L118" s="20">
        <f t="shared" si="25"/>
        <v>709.99999999999989</v>
      </c>
      <c r="M118" s="20">
        <v>130</v>
      </c>
      <c r="N118" s="20">
        <v>304</v>
      </c>
      <c r="O118" s="20">
        <v>709</v>
      </c>
      <c r="P118" s="20">
        <v>0</v>
      </c>
      <c r="Q118" s="19">
        <f t="shared" si="26"/>
        <v>591</v>
      </c>
      <c r="R118" s="19">
        <f t="shared" si="27"/>
        <v>616</v>
      </c>
      <c r="S118" s="19">
        <f t="shared" si="28"/>
        <v>1549</v>
      </c>
      <c r="T118" s="19">
        <f t="shared" si="29"/>
        <v>9384</v>
      </c>
      <c r="U118" s="22" t="s">
        <v>36</v>
      </c>
    </row>
    <row r="119" spans="1:21" ht="15.75" customHeight="1">
      <c r="A119" s="21">
        <v>104</v>
      </c>
      <c r="B119" s="21" t="s">
        <v>175</v>
      </c>
      <c r="C119" s="21" t="s">
        <v>57</v>
      </c>
      <c r="D119" s="21" t="s">
        <v>58</v>
      </c>
      <c r="E119" s="22" t="s">
        <v>29</v>
      </c>
      <c r="F119" s="19">
        <v>10000</v>
      </c>
      <c r="G119" s="20">
        <v>0</v>
      </c>
      <c r="H119" s="20">
        <v>25</v>
      </c>
      <c r="I119" s="20">
        <v>0</v>
      </c>
      <c r="J119" s="20">
        <f>1000+3869.93</f>
        <v>4869.93</v>
      </c>
      <c r="K119" s="20">
        <f t="shared" si="24"/>
        <v>287</v>
      </c>
      <c r="L119" s="20">
        <f t="shared" si="25"/>
        <v>709.99999999999989</v>
      </c>
      <c r="M119" s="20">
        <v>130</v>
      </c>
      <c r="N119" s="20">
        <v>304</v>
      </c>
      <c r="O119" s="20">
        <v>709</v>
      </c>
      <c r="P119" s="20">
        <v>0</v>
      </c>
      <c r="Q119" s="19">
        <f t="shared" si="26"/>
        <v>591</v>
      </c>
      <c r="R119" s="19">
        <f t="shared" si="27"/>
        <v>5485.93</v>
      </c>
      <c r="S119" s="19">
        <f t="shared" si="28"/>
        <v>1549</v>
      </c>
      <c r="T119" s="19">
        <f t="shared" si="29"/>
        <v>4514.07</v>
      </c>
      <c r="U119" s="22" t="s">
        <v>36</v>
      </c>
    </row>
    <row r="120" spans="1:21" ht="15.75" customHeight="1">
      <c r="A120" s="21">
        <v>105</v>
      </c>
      <c r="B120" s="21" t="s">
        <v>176</v>
      </c>
      <c r="C120" s="21" t="s">
        <v>68</v>
      </c>
      <c r="D120" s="21" t="s">
        <v>78</v>
      </c>
      <c r="E120" s="22" t="s">
        <v>29</v>
      </c>
      <c r="F120" s="19">
        <v>17000</v>
      </c>
      <c r="G120" s="20">
        <v>0</v>
      </c>
      <c r="H120" s="20">
        <v>25</v>
      </c>
      <c r="I120" s="20">
        <v>0</v>
      </c>
      <c r="J120" s="20">
        <v>0</v>
      </c>
      <c r="K120" s="20">
        <f t="shared" si="24"/>
        <v>487.9</v>
      </c>
      <c r="L120" s="20">
        <f t="shared" si="25"/>
        <v>1207</v>
      </c>
      <c r="M120" s="20">
        <v>221</v>
      </c>
      <c r="N120" s="20">
        <v>516.79999999999995</v>
      </c>
      <c r="O120" s="20">
        <v>1205.3000000000002</v>
      </c>
      <c r="P120" s="20">
        <v>0</v>
      </c>
      <c r="Q120" s="19">
        <f t="shared" si="26"/>
        <v>1004.6999999999999</v>
      </c>
      <c r="R120" s="19">
        <f t="shared" si="27"/>
        <v>1029.6999999999998</v>
      </c>
      <c r="S120" s="19">
        <f t="shared" si="28"/>
        <v>2633.3</v>
      </c>
      <c r="T120" s="19">
        <f t="shared" si="29"/>
        <v>15970.3</v>
      </c>
      <c r="U120" s="22" t="s">
        <v>36</v>
      </c>
    </row>
    <row r="121" spans="1:21" ht="15.75" customHeight="1">
      <c r="A121" s="17">
        <v>106</v>
      </c>
      <c r="B121" s="21" t="s">
        <v>177</v>
      </c>
      <c r="C121" s="21" t="s">
        <v>71</v>
      </c>
      <c r="D121" s="21" t="s">
        <v>61</v>
      </c>
      <c r="E121" s="22" t="s">
        <v>29</v>
      </c>
      <c r="F121" s="19">
        <v>10000</v>
      </c>
      <c r="G121" s="20">
        <v>0</v>
      </c>
      <c r="H121" s="20">
        <v>25</v>
      </c>
      <c r="I121" s="20">
        <v>0</v>
      </c>
      <c r="J121" s="20">
        <f>300+400+2480.28+1520</f>
        <v>4700.2800000000007</v>
      </c>
      <c r="K121" s="20">
        <f t="shared" si="24"/>
        <v>287</v>
      </c>
      <c r="L121" s="20">
        <f t="shared" si="25"/>
        <v>709.99999999999989</v>
      </c>
      <c r="M121" s="20">
        <v>130</v>
      </c>
      <c r="N121" s="20">
        <v>304</v>
      </c>
      <c r="O121" s="20">
        <v>709</v>
      </c>
      <c r="P121" s="20">
        <v>0</v>
      </c>
      <c r="Q121" s="19">
        <f t="shared" si="26"/>
        <v>591</v>
      </c>
      <c r="R121" s="19">
        <f t="shared" si="27"/>
        <v>5316.2800000000007</v>
      </c>
      <c r="S121" s="19">
        <f t="shared" si="28"/>
        <v>1549</v>
      </c>
      <c r="T121" s="19">
        <f t="shared" si="29"/>
        <v>4683.7199999999993</v>
      </c>
      <c r="U121" s="22" t="s">
        <v>36</v>
      </c>
    </row>
    <row r="122" spans="1:21" ht="15.75" customHeight="1">
      <c r="A122" s="21">
        <v>107</v>
      </c>
      <c r="B122" s="21" t="s">
        <v>178</v>
      </c>
      <c r="C122" s="21" t="s">
        <v>71</v>
      </c>
      <c r="D122" s="21" t="s">
        <v>64</v>
      </c>
      <c r="E122" s="22" t="s">
        <v>29</v>
      </c>
      <c r="F122" s="19">
        <v>10000</v>
      </c>
      <c r="G122" s="20">
        <v>0</v>
      </c>
      <c r="H122" s="20">
        <v>25</v>
      </c>
      <c r="I122" s="20">
        <v>0</v>
      </c>
      <c r="J122" s="20">
        <v>0</v>
      </c>
      <c r="K122" s="20">
        <f t="shared" si="24"/>
        <v>287</v>
      </c>
      <c r="L122" s="20">
        <f t="shared" si="25"/>
        <v>709.99999999999989</v>
      </c>
      <c r="M122" s="20">
        <v>130</v>
      </c>
      <c r="N122" s="20">
        <v>304</v>
      </c>
      <c r="O122" s="20">
        <v>709</v>
      </c>
      <c r="P122" s="20">
        <v>0</v>
      </c>
      <c r="Q122" s="19">
        <f t="shared" si="26"/>
        <v>591</v>
      </c>
      <c r="R122" s="19">
        <f t="shared" si="27"/>
        <v>616</v>
      </c>
      <c r="S122" s="19">
        <f t="shared" si="28"/>
        <v>1549</v>
      </c>
      <c r="T122" s="19">
        <f t="shared" si="29"/>
        <v>9384</v>
      </c>
      <c r="U122" s="22" t="s">
        <v>36</v>
      </c>
    </row>
    <row r="123" spans="1:21" ht="15.75" customHeight="1">
      <c r="A123" s="21">
        <v>108</v>
      </c>
      <c r="B123" s="21" t="s">
        <v>179</v>
      </c>
      <c r="C123" s="21" t="s">
        <v>77</v>
      </c>
      <c r="D123" s="21" t="s">
        <v>64</v>
      </c>
      <c r="E123" s="22" t="s">
        <v>29</v>
      </c>
      <c r="F123" s="19">
        <v>10000</v>
      </c>
      <c r="G123" s="20">
        <v>0</v>
      </c>
      <c r="H123" s="20">
        <v>25</v>
      </c>
      <c r="I123" s="20">
        <v>0</v>
      </c>
      <c r="J123" s="20">
        <v>0</v>
      </c>
      <c r="K123" s="20">
        <f t="shared" si="24"/>
        <v>287</v>
      </c>
      <c r="L123" s="20">
        <f t="shared" si="25"/>
        <v>709.99999999999989</v>
      </c>
      <c r="M123" s="20">
        <v>130</v>
      </c>
      <c r="N123" s="20">
        <v>304</v>
      </c>
      <c r="O123" s="20">
        <v>709</v>
      </c>
      <c r="P123" s="20">
        <v>0</v>
      </c>
      <c r="Q123" s="19">
        <f t="shared" si="26"/>
        <v>591</v>
      </c>
      <c r="R123" s="19">
        <f t="shared" si="27"/>
        <v>616</v>
      </c>
      <c r="S123" s="19">
        <f t="shared" si="28"/>
        <v>1549</v>
      </c>
      <c r="T123" s="19">
        <f t="shared" si="29"/>
        <v>9384</v>
      </c>
      <c r="U123" s="22" t="s">
        <v>30</v>
      </c>
    </row>
    <row r="124" spans="1:21" ht="15.75" customHeight="1">
      <c r="A124" s="17">
        <v>109</v>
      </c>
      <c r="B124" s="21" t="s">
        <v>180</v>
      </c>
      <c r="C124" s="21" t="s">
        <v>138</v>
      </c>
      <c r="D124" s="21" t="s">
        <v>58</v>
      </c>
      <c r="E124" s="22" t="s">
        <v>29</v>
      </c>
      <c r="F124" s="19">
        <v>15000</v>
      </c>
      <c r="G124" s="20">
        <v>0</v>
      </c>
      <c r="H124" s="20">
        <v>25</v>
      </c>
      <c r="I124" s="20">
        <v>0</v>
      </c>
      <c r="J124" s="20">
        <v>0</v>
      </c>
      <c r="K124" s="20">
        <f t="shared" si="24"/>
        <v>430.5</v>
      </c>
      <c r="L124" s="20">
        <f t="shared" si="25"/>
        <v>1065</v>
      </c>
      <c r="M124" s="20">
        <v>195</v>
      </c>
      <c r="N124" s="20">
        <v>456</v>
      </c>
      <c r="O124" s="20">
        <v>1063.5</v>
      </c>
      <c r="P124" s="20">
        <v>0</v>
      </c>
      <c r="Q124" s="19">
        <f t="shared" si="26"/>
        <v>886.5</v>
      </c>
      <c r="R124" s="19">
        <f t="shared" si="27"/>
        <v>911.5</v>
      </c>
      <c r="S124" s="19">
        <f t="shared" si="28"/>
        <v>2323.5</v>
      </c>
      <c r="T124" s="19">
        <f t="shared" si="29"/>
        <v>14088.5</v>
      </c>
      <c r="U124" s="22" t="s">
        <v>30</v>
      </c>
    </row>
    <row r="125" spans="1:21" ht="15.75" customHeight="1">
      <c r="A125" s="21">
        <v>110</v>
      </c>
      <c r="B125" s="21" t="s">
        <v>181</v>
      </c>
      <c r="C125" s="21" t="s">
        <v>77</v>
      </c>
      <c r="D125" s="21" t="s">
        <v>78</v>
      </c>
      <c r="E125" s="22" t="s">
        <v>29</v>
      </c>
      <c r="F125" s="19">
        <v>10000</v>
      </c>
      <c r="G125" s="20">
        <v>0</v>
      </c>
      <c r="H125" s="20">
        <v>25</v>
      </c>
      <c r="I125" s="20">
        <v>0</v>
      </c>
      <c r="J125" s="20">
        <v>0</v>
      </c>
      <c r="K125" s="20">
        <f t="shared" si="24"/>
        <v>287</v>
      </c>
      <c r="L125" s="20">
        <f t="shared" si="25"/>
        <v>709.99999999999989</v>
      </c>
      <c r="M125" s="20">
        <v>130</v>
      </c>
      <c r="N125" s="20">
        <v>304</v>
      </c>
      <c r="O125" s="20">
        <v>709</v>
      </c>
      <c r="P125" s="20">
        <v>0</v>
      </c>
      <c r="Q125" s="19">
        <f t="shared" si="26"/>
        <v>591</v>
      </c>
      <c r="R125" s="19">
        <f t="shared" si="27"/>
        <v>616</v>
      </c>
      <c r="S125" s="19">
        <f t="shared" si="28"/>
        <v>1549</v>
      </c>
      <c r="T125" s="19">
        <f t="shared" si="29"/>
        <v>9384</v>
      </c>
      <c r="U125" s="22" t="s">
        <v>30</v>
      </c>
    </row>
    <row r="126" spans="1:21" ht="15.75" customHeight="1">
      <c r="A126" s="21">
        <v>111</v>
      </c>
      <c r="B126" s="21" t="s">
        <v>182</v>
      </c>
      <c r="C126" s="21" t="s">
        <v>66</v>
      </c>
      <c r="D126" s="21" t="s">
        <v>64</v>
      </c>
      <c r="E126" s="22" t="s">
        <v>29</v>
      </c>
      <c r="F126" s="19">
        <v>25000</v>
      </c>
      <c r="G126" s="20">
        <v>0</v>
      </c>
      <c r="H126" s="20">
        <v>25</v>
      </c>
      <c r="I126" s="20">
        <v>0</v>
      </c>
      <c r="J126" s="20">
        <v>0</v>
      </c>
      <c r="K126" s="20">
        <f t="shared" si="24"/>
        <v>717.5</v>
      </c>
      <c r="L126" s="20">
        <f t="shared" si="25"/>
        <v>1774.9999999999998</v>
      </c>
      <c r="M126" s="20">
        <v>325</v>
      </c>
      <c r="N126" s="20">
        <v>760</v>
      </c>
      <c r="O126" s="20">
        <v>1772.5000000000002</v>
      </c>
      <c r="P126" s="20">
        <v>0</v>
      </c>
      <c r="Q126" s="19">
        <f t="shared" si="26"/>
        <v>1477.5</v>
      </c>
      <c r="R126" s="19">
        <f t="shared" si="27"/>
        <v>1502.5</v>
      </c>
      <c r="S126" s="19">
        <f t="shared" si="28"/>
        <v>3872.5</v>
      </c>
      <c r="T126" s="19">
        <f t="shared" si="29"/>
        <v>23497.5</v>
      </c>
      <c r="U126" s="22" t="s">
        <v>30</v>
      </c>
    </row>
    <row r="127" spans="1:21" ht="15.75" customHeight="1">
      <c r="A127" s="17">
        <v>112</v>
      </c>
      <c r="B127" s="21" t="s">
        <v>183</v>
      </c>
      <c r="C127" s="21" t="s">
        <v>77</v>
      </c>
      <c r="D127" s="21" t="s">
        <v>78</v>
      </c>
      <c r="E127" s="22" t="s">
        <v>29</v>
      </c>
      <c r="F127" s="19">
        <v>10000</v>
      </c>
      <c r="G127" s="20">
        <v>0</v>
      </c>
      <c r="H127" s="20">
        <v>25</v>
      </c>
      <c r="I127" s="20">
        <v>0</v>
      </c>
      <c r="J127" s="20">
        <v>0</v>
      </c>
      <c r="K127" s="20">
        <f t="shared" si="24"/>
        <v>287</v>
      </c>
      <c r="L127" s="20">
        <f t="shared" si="25"/>
        <v>709.99999999999989</v>
      </c>
      <c r="M127" s="20">
        <v>130</v>
      </c>
      <c r="N127" s="20">
        <v>304</v>
      </c>
      <c r="O127" s="20">
        <v>709</v>
      </c>
      <c r="P127" s="20">
        <v>0</v>
      </c>
      <c r="Q127" s="19">
        <f t="shared" si="26"/>
        <v>591</v>
      </c>
      <c r="R127" s="19">
        <f t="shared" si="27"/>
        <v>616</v>
      </c>
      <c r="S127" s="19">
        <f t="shared" si="28"/>
        <v>1549</v>
      </c>
      <c r="T127" s="19">
        <f t="shared" si="29"/>
        <v>9384</v>
      </c>
      <c r="U127" s="22" t="s">
        <v>30</v>
      </c>
    </row>
    <row r="128" spans="1:21" ht="15.75" customHeight="1">
      <c r="A128" s="21">
        <v>113</v>
      </c>
      <c r="B128" s="21" t="s">
        <v>184</v>
      </c>
      <c r="C128" s="21" t="s">
        <v>60</v>
      </c>
      <c r="D128" s="21" t="s">
        <v>61</v>
      </c>
      <c r="E128" s="22" t="s">
        <v>29</v>
      </c>
      <c r="F128" s="19">
        <v>25000</v>
      </c>
      <c r="G128" s="20">
        <v>0</v>
      </c>
      <c r="H128" s="20">
        <v>25</v>
      </c>
      <c r="I128" s="20">
        <v>0</v>
      </c>
      <c r="J128" s="20">
        <v>0</v>
      </c>
      <c r="K128" s="20">
        <f t="shared" si="24"/>
        <v>717.5</v>
      </c>
      <c r="L128" s="20">
        <f t="shared" si="25"/>
        <v>1774.9999999999998</v>
      </c>
      <c r="M128" s="20">
        <v>325</v>
      </c>
      <c r="N128" s="20">
        <v>760</v>
      </c>
      <c r="O128" s="20">
        <v>1772.5000000000002</v>
      </c>
      <c r="P128" s="20">
        <v>0</v>
      </c>
      <c r="Q128" s="19">
        <f t="shared" si="26"/>
        <v>1477.5</v>
      </c>
      <c r="R128" s="19">
        <f t="shared" si="27"/>
        <v>1502.5</v>
      </c>
      <c r="S128" s="19">
        <f t="shared" si="28"/>
        <v>3872.5</v>
      </c>
      <c r="T128" s="19">
        <f t="shared" si="29"/>
        <v>23497.5</v>
      </c>
      <c r="U128" s="22" t="s">
        <v>30</v>
      </c>
    </row>
    <row r="129" spans="1:21" ht="15.75" customHeight="1">
      <c r="A129" s="21">
        <v>114</v>
      </c>
      <c r="B129" s="21" t="s">
        <v>185</v>
      </c>
      <c r="C129" s="21" t="s">
        <v>68</v>
      </c>
      <c r="D129" s="21" t="s">
        <v>58</v>
      </c>
      <c r="E129" s="22" t="s">
        <v>29</v>
      </c>
      <c r="F129" s="19">
        <v>15000</v>
      </c>
      <c r="G129" s="20">
        <v>0</v>
      </c>
      <c r="H129" s="20">
        <v>25</v>
      </c>
      <c r="I129" s="20">
        <v>0</v>
      </c>
      <c r="J129" s="20">
        <v>0</v>
      </c>
      <c r="K129" s="20">
        <f t="shared" si="24"/>
        <v>430.5</v>
      </c>
      <c r="L129" s="20">
        <f t="shared" si="25"/>
        <v>1065</v>
      </c>
      <c r="M129" s="20">
        <v>195</v>
      </c>
      <c r="N129" s="20">
        <v>456</v>
      </c>
      <c r="O129" s="20">
        <v>1063.5</v>
      </c>
      <c r="P129" s="20">
        <v>0</v>
      </c>
      <c r="Q129" s="19">
        <f t="shared" si="26"/>
        <v>886.5</v>
      </c>
      <c r="R129" s="19">
        <f t="shared" si="27"/>
        <v>911.5</v>
      </c>
      <c r="S129" s="19">
        <f t="shared" si="28"/>
        <v>2323.5</v>
      </c>
      <c r="T129" s="19">
        <f t="shared" si="29"/>
        <v>14088.5</v>
      </c>
      <c r="U129" s="22" t="s">
        <v>36</v>
      </c>
    </row>
    <row r="130" spans="1:21" ht="15.75" customHeight="1">
      <c r="A130" s="17">
        <v>115</v>
      </c>
      <c r="B130" s="21" t="s">
        <v>186</v>
      </c>
      <c r="C130" s="21" t="s">
        <v>68</v>
      </c>
      <c r="D130" s="21" t="s">
        <v>72</v>
      </c>
      <c r="E130" s="22" t="s">
        <v>29</v>
      </c>
      <c r="F130" s="19">
        <v>16500</v>
      </c>
      <c r="G130" s="20">
        <v>0</v>
      </c>
      <c r="H130" s="20">
        <v>25</v>
      </c>
      <c r="I130" s="20">
        <v>0</v>
      </c>
      <c r="J130" s="20">
        <f>500+3000+5437.81+3274.37</f>
        <v>12212.18</v>
      </c>
      <c r="K130" s="20">
        <f t="shared" si="24"/>
        <v>473.55</v>
      </c>
      <c r="L130" s="20">
        <f t="shared" si="25"/>
        <v>1171.5</v>
      </c>
      <c r="M130" s="20">
        <v>214.5</v>
      </c>
      <c r="N130" s="20">
        <v>501.6</v>
      </c>
      <c r="O130" s="20">
        <v>1169.8500000000001</v>
      </c>
      <c r="P130" s="20">
        <v>0</v>
      </c>
      <c r="Q130" s="19">
        <f t="shared" si="26"/>
        <v>975.15000000000009</v>
      </c>
      <c r="R130" s="19">
        <f t="shared" si="27"/>
        <v>13212.33</v>
      </c>
      <c r="S130" s="19">
        <f t="shared" si="28"/>
        <v>2555.8500000000004</v>
      </c>
      <c r="T130" s="19">
        <f t="shared" si="29"/>
        <v>3287.67</v>
      </c>
      <c r="U130" s="22" t="s">
        <v>30</v>
      </c>
    </row>
    <row r="131" spans="1:21" ht="15.75" customHeight="1">
      <c r="A131" s="21">
        <v>116</v>
      </c>
      <c r="B131" s="21" t="s">
        <v>187</v>
      </c>
      <c r="C131" s="21" t="s">
        <v>77</v>
      </c>
      <c r="D131" s="21" t="s">
        <v>61</v>
      </c>
      <c r="E131" s="22" t="s">
        <v>29</v>
      </c>
      <c r="F131" s="19">
        <v>15000</v>
      </c>
      <c r="G131" s="20">
        <v>0</v>
      </c>
      <c r="H131" s="20">
        <v>25</v>
      </c>
      <c r="I131" s="20">
        <v>0</v>
      </c>
      <c r="J131" s="20">
        <v>0</v>
      </c>
      <c r="K131" s="20">
        <f t="shared" si="24"/>
        <v>430.5</v>
      </c>
      <c r="L131" s="20">
        <f t="shared" si="25"/>
        <v>1065</v>
      </c>
      <c r="M131" s="20">
        <v>195</v>
      </c>
      <c r="N131" s="20">
        <v>456</v>
      </c>
      <c r="O131" s="20">
        <v>1063.5</v>
      </c>
      <c r="P131" s="20">
        <v>0</v>
      </c>
      <c r="Q131" s="19">
        <f t="shared" si="26"/>
        <v>886.5</v>
      </c>
      <c r="R131" s="19">
        <f t="shared" si="27"/>
        <v>911.5</v>
      </c>
      <c r="S131" s="19">
        <f t="shared" si="28"/>
        <v>2323.5</v>
      </c>
      <c r="T131" s="19">
        <f t="shared" si="29"/>
        <v>14088.5</v>
      </c>
      <c r="U131" s="22" t="s">
        <v>30</v>
      </c>
    </row>
    <row r="132" spans="1:21" ht="15.75" customHeight="1">
      <c r="A132" s="21">
        <v>117</v>
      </c>
      <c r="B132" s="21" t="s">
        <v>188</v>
      </c>
      <c r="C132" s="21" t="s">
        <v>48</v>
      </c>
      <c r="D132" s="21" t="s">
        <v>72</v>
      </c>
      <c r="E132" s="22" t="s">
        <v>29</v>
      </c>
      <c r="F132" s="19">
        <v>25000</v>
      </c>
      <c r="G132" s="20">
        <v>0</v>
      </c>
      <c r="H132" s="20">
        <v>25</v>
      </c>
      <c r="I132" s="20">
        <v>0</v>
      </c>
      <c r="J132" s="20">
        <v>0</v>
      </c>
      <c r="K132" s="20">
        <f t="shared" si="24"/>
        <v>717.5</v>
      </c>
      <c r="L132" s="20">
        <f t="shared" si="25"/>
        <v>1774.9999999999998</v>
      </c>
      <c r="M132" s="20">
        <v>325</v>
      </c>
      <c r="N132" s="20">
        <v>760</v>
      </c>
      <c r="O132" s="20">
        <v>1772.5000000000002</v>
      </c>
      <c r="P132" s="20">
        <v>0</v>
      </c>
      <c r="Q132" s="19">
        <f t="shared" si="26"/>
        <v>1477.5</v>
      </c>
      <c r="R132" s="19">
        <f t="shared" si="27"/>
        <v>1502.5</v>
      </c>
      <c r="S132" s="19">
        <f t="shared" si="28"/>
        <v>3872.5</v>
      </c>
      <c r="T132" s="19">
        <f t="shared" si="29"/>
        <v>23497.5</v>
      </c>
      <c r="U132" s="22" t="s">
        <v>36</v>
      </c>
    </row>
    <row r="133" spans="1:21" ht="15.75" customHeight="1">
      <c r="A133" s="17">
        <v>118</v>
      </c>
      <c r="B133" s="21" t="s">
        <v>189</v>
      </c>
      <c r="C133" s="21" t="s">
        <v>190</v>
      </c>
      <c r="D133" s="21" t="s">
        <v>72</v>
      </c>
      <c r="E133" s="22" t="s">
        <v>29</v>
      </c>
      <c r="F133" s="19">
        <v>20000</v>
      </c>
      <c r="G133" s="20">
        <v>0</v>
      </c>
      <c r="H133" s="20">
        <v>25</v>
      </c>
      <c r="I133" s="20">
        <v>0</v>
      </c>
      <c r="J133" s="20">
        <v>0</v>
      </c>
      <c r="K133" s="20">
        <f t="shared" si="24"/>
        <v>574</v>
      </c>
      <c r="L133" s="20">
        <f t="shared" si="25"/>
        <v>1419.9999999999998</v>
      </c>
      <c r="M133" s="20">
        <v>260</v>
      </c>
      <c r="N133" s="20">
        <v>608</v>
      </c>
      <c r="O133" s="20">
        <v>1418</v>
      </c>
      <c r="P133" s="20">
        <v>0</v>
      </c>
      <c r="Q133" s="19">
        <f t="shared" si="26"/>
        <v>1182</v>
      </c>
      <c r="R133" s="19">
        <f t="shared" si="27"/>
        <v>1207</v>
      </c>
      <c r="S133" s="19">
        <f t="shared" si="28"/>
        <v>3098</v>
      </c>
      <c r="T133" s="19">
        <f t="shared" si="29"/>
        <v>18793</v>
      </c>
      <c r="U133" s="22" t="s">
        <v>36</v>
      </c>
    </row>
    <row r="134" spans="1:21" ht="15.75" customHeight="1">
      <c r="A134" s="21">
        <v>119</v>
      </c>
      <c r="B134" s="21" t="s">
        <v>191</v>
      </c>
      <c r="C134" s="21" t="s">
        <v>57</v>
      </c>
      <c r="D134" s="21" t="s">
        <v>58</v>
      </c>
      <c r="E134" s="22" t="s">
        <v>29</v>
      </c>
      <c r="F134" s="19">
        <v>14981.85</v>
      </c>
      <c r="G134" s="20">
        <v>0</v>
      </c>
      <c r="H134" s="20">
        <v>25</v>
      </c>
      <c r="I134" s="20">
        <v>0</v>
      </c>
      <c r="J134" s="20">
        <v>0</v>
      </c>
      <c r="K134" s="20">
        <f t="shared" si="24"/>
        <v>429.97909500000003</v>
      </c>
      <c r="L134" s="20">
        <f t="shared" si="25"/>
        <v>1063.71135</v>
      </c>
      <c r="M134" s="20">
        <v>194.76</v>
      </c>
      <c r="N134" s="20">
        <v>455.44824</v>
      </c>
      <c r="O134" s="20">
        <v>1062.2131650000001</v>
      </c>
      <c r="P134" s="20">
        <v>0</v>
      </c>
      <c r="Q134" s="19">
        <f t="shared" si="26"/>
        <v>885.42733500000008</v>
      </c>
      <c r="R134" s="19">
        <f t="shared" si="27"/>
        <v>910.42733500000008</v>
      </c>
      <c r="S134" s="19">
        <f t="shared" si="28"/>
        <v>2320.6845149999999</v>
      </c>
      <c r="T134" s="19">
        <f t="shared" si="29"/>
        <v>14071.422665</v>
      </c>
      <c r="U134" s="22" t="s">
        <v>36</v>
      </c>
    </row>
    <row r="135" spans="1:21" ht="15.75" customHeight="1">
      <c r="A135" s="21">
        <v>120</v>
      </c>
      <c r="B135" s="21" t="s">
        <v>192</v>
      </c>
      <c r="C135" s="21" t="s">
        <v>71</v>
      </c>
      <c r="D135" s="21" t="s">
        <v>72</v>
      </c>
      <c r="E135" s="22" t="s">
        <v>29</v>
      </c>
      <c r="F135" s="19">
        <v>22000</v>
      </c>
      <c r="G135" s="20">
        <v>0</v>
      </c>
      <c r="H135" s="20">
        <v>25</v>
      </c>
      <c r="I135" s="20">
        <v>0</v>
      </c>
      <c r="J135" s="20">
        <v>0</v>
      </c>
      <c r="K135" s="20">
        <f t="shared" si="24"/>
        <v>631.4</v>
      </c>
      <c r="L135" s="20">
        <f t="shared" si="25"/>
        <v>1561.9999999999998</v>
      </c>
      <c r="M135" s="20">
        <v>286</v>
      </c>
      <c r="N135" s="20">
        <v>668.8</v>
      </c>
      <c r="O135" s="20">
        <v>1559.8000000000002</v>
      </c>
      <c r="P135" s="20">
        <v>0</v>
      </c>
      <c r="Q135" s="19">
        <f t="shared" si="26"/>
        <v>1300.1999999999998</v>
      </c>
      <c r="R135" s="19">
        <f t="shared" si="27"/>
        <v>1325.1999999999998</v>
      </c>
      <c r="S135" s="19">
        <f t="shared" si="28"/>
        <v>3407.8</v>
      </c>
      <c r="T135" s="19">
        <f t="shared" si="29"/>
        <v>20674.8</v>
      </c>
      <c r="U135" s="22" t="s">
        <v>36</v>
      </c>
    </row>
    <row r="136" spans="1:21" ht="15.75" customHeight="1">
      <c r="A136" s="17">
        <v>121</v>
      </c>
      <c r="B136" s="21" t="s">
        <v>193</v>
      </c>
      <c r="C136" s="21" t="s">
        <v>63</v>
      </c>
      <c r="D136" s="21" t="s">
        <v>98</v>
      </c>
      <c r="E136" s="22" t="s">
        <v>29</v>
      </c>
      <c r="F136" s="19">
        <v>30000</v>
      </c>
      <c r="G136" s="20">
        <v>0</v>
      </c>
      <c r="H136" s="20">
        <v>25</v>
      </c>
      <c r="I136" s="20">
        <v>0</v>
      </c>
      <c r="J136" s="20">
        <f>1700+300</f>
        <v>2000</v>
      </c>
      <c r="K136" s="20">
        <f t="shared" si="24"/>
        <v>861</v>
      </c>
      <c r="L136" s="20">
        <f t="shared" si="25"/>
        <v>2130</v>
      </c>
      <c r="M136" s="20">
        <v>390</v>
      </c>
      <c r="N136" s="20">
        <v>912</v>
      </c>
      <c r="O136" s="20">
        <v>2127</v>
      </c>
      <c r="P136" s="20">
        <v>0</v>
      </c>
      <c r="Q136" s="19">
        <f t="shared" si="26"/>
        <v>1773</v>
      </c>
      <c r="R136" s="19">
        <f t="shared" si="27"/>
        <v>3798</v>
      </c>
      <c r="S136" s="19">
        <f t="shared" si="28"/>
        <v>4647</v>
      </c>
      <c r="T136" s="19">
        <f t="shared" si="29"/>
        <v>26202</v>
      </c>
      <c r="U136" s="22" t="s">
        <v>30</v>
      </c>
    </row>
    <row r="137" spans="1:21" ht="15.75" customHeight="1">
      <c r="A137" s="21">
        <v>122</v>
      </c>
      <c r="B137" s="21" t="s">
        <v>194</v>
      </c>
      <c r="C137" s="21" t="s">
        <v>94</v>
      </c>
      <c r="D137" s="21" t="s">
        <v>55</v>
      </c>
      <c r="E137" s="22" t="s">
        <v>29</v>
      </c>
      <c r="F137" s="19">
        <v>25000</v>
      </c>
      <c r="G137" s="20">
        <v>0</v>
      </c>
      <c r="H137" s="20">
        <v>25</v>
      </c>
      <c r="I137" s="20">
        <v>0</v>
      </c>
      <c r="J137" s="20">
        <v>0</v>
      </c>
      <c r="K137" s="20">
        <f t="shared" si="24"/>
        <v>717.5</v>
      </c>
      <c r="L137" s="20">
        <f t="shared" si="25"/>
        <v>1774.9999999999998</v>
      </c>
      <c r="M137" s="20">
        <v>325</v>
      </c>
      <c r="N137" s="20">
        <v>760</v>
      </c>
      <c r="O137" s="20">
        <v>1772.5000000000002</v>
      </c>
      <c r="P137" s="20">
        <v>0</v>
      </c>
      <c r="Q137" s="19">
        <f t="shared" si="26"/>
        <v>1477.5</v>
      </c>
      <c r="R137" s="19">
        <f t="shared" si="27"/>
        <v>1502.5</v>
      </c>
      <c r="S137" s="19">
        <f t="shared" si="28"/>
        <v>3872.5</v>
      </c>
      <c r="T137" s="19">
        <f t="shared" si="29"/>
        <v>23497.5</v>
      </c>
      <c r="U137" s="22" t="s">
        <v>30</v>
      </c>
    </row>
    <row r="138" spans="1:21" ht="15.75" customHeight="1">
      <c r="A138" s="21">
        <v>123</v>
      </c>
      <c r="B138" s="21" t="s">
        <v>195</v>
      </c>
      <c r="C138" s="21" t="s">
        <v>196</v>
      </c>
      <c r="D138" s="21" t="s">
        <v>72</v>
      </c>
      <c r="E138" s="22" t="s">
        <v>29</v>
      </c>
      <c r="F138" s="19">
        <v>20000</v>
      </c>
      <c r="G138" s="20">
        <v>0</v>
      </c>
      <c r="H138" s="20">
        <v>25</v>
      </c>
      <c r="I138" s="20">
        <v>0</v>
      </c>
      <c r="J138" s="20">
        <v>0</v>
      </c>
      <c r="K138" s="20">
        <f t="shared" si="24"/>
        <v>574</v>
      </c>
      <c r="L138" s="20">
        <f t="shared" si="25"/>
        <v>1419.9999999999998</v>
      </c>
      <c r="M138" s="20">
        <v>260</v>
      </c>
      <c r="N138" s="20">
        <v>608</v>
      </c>
      <c r="O138" s="20">
        <v>1418</v>
      </c>
      <c r="P138" s="20">
        <v>0</v>
      </c>
      <c r="Q138" s="19">
        <f t="shared" si="26"/>
        <v>1182</v>
      </c>
      <c r="R138" s="19">
        <f t="shared" si="27"/>
        <v>1207</v>
      </c>
      <c r="S138" s="19">
        <f t="shared" si="28"/>
        <v>3098</v>
      </c>
      <c r="T138" s="19">
        <f t="shared" si="29"/>
        <v>18793</v>
      </c>
      <c r="U138" s="22" t="s">
        <v>30</v>
      </c>
    </row>
    <row r="139" spans="1:21" ht="15.75" customHeight="1">
      <c r="A139" s="17">
        <v>124</v>
      </c>
      <c r="B139" s="21" t="s">
        <v>197</v>
      </c>
      <c r="C139" s="21" t="s">
        <v>77</v>
      </c>
      <c r="D139" s="21" t="s">
        <v>64</v>
      </c>
      <c r="E139" s="22" t="s">
        <v>29</v>
      </c>
      <c r="F139" s="19">
        <v>10000</v>
      </c>
      <c r="G139" s="20">
        <v>0</v>
      </c>
      <c r="H139" s="20">
        <v>25</v>
      </c>
      <c r="I139" s="20">
        <v>0</v>
      </c>
      <c r="J139" s="20">
        <v>0</v>
      </c>
      <c r="K139" s="20">
        <f t="shared" si="24"/>
        <v>287</v>
      </c>
      <c r="L139" s="20">
        <f t="shared" si="25"/>
        <v>709.99999999999989</v>
      </c>
      <c r="M139" s="20">
        <v>130</v>
      </c>
      <c r="N139" s="20">
        <v>304</v>
      </c>
      <c r="O139" s="20">
        <v>709</v>
      </c>
      <c r="P139" s="20">
        <v>0</v>
      </c>
      <c r="Q139" s="19">
        <f t="shared" si="26"/>
        <v>591</v>
      </c>
      <c r="R139" s="19">
        <f t="shared" si="27"/>
        <v>616</v>
      </c>
      <c r="S139" s="19">
        <f t="shared" si="28"/>
        <v>1549</v>
      </c>
      <c r="T139" s="19">
        <f t="shared" si="29"/>
        <v>9384</v>
      </c>
      <c r="U139" s="22" t="s">
        <v>36</v>
      </c>
    </row>
    <row r="140" spans="1:21" ht="15.75" customHeight="1">
      <c r="A140" s="21">
        <v>125</v>
      </c>
      <c r="B140" s="21" t="s">
        <v>198</v>
      </c>
      <c r="C140" s="21" t="s">
        <v>71</v>
      </c>
      <c r="D140" s="21" t="s">
        <v>72</v>
      </c>
      <c r="E140" s="22" t="s">
        <v>29</v>
      </c>
      <c r="F140" s="19">
        <v>15000</v>
      </c>
      <c r="G140" s="20">
        <v>0</v>
      </c>
      <c r="H140" s="20">
        <v>25</v>
      </c>
      <c r="I140" s="20">
        <v>0</v>
      </c>
      <c r="J140" s="20">
        <f>2000+300</f>
        <v>2300</v>
      </c>
      <c r="K140" s="20">
        <f t="shared" si="24"/>
        <v>430.5</v>
      </c>
      <c r="L140" s="20">
        <f t="shared" si="25"/>
        <v>1065</v>
      </c>
      <c r="M140" s="20">
        <v>195</v>
      </c>
      <c r="N140" s="20">
        <v>456</v>
      </c>
      <c r="O140" s="20">
        <v>1063.5</v>
      </c>
      <c r="P140" s="20">
        <v>0</v>
      </c>
      <c r="Q140" s="19">
        <f t="shared" si="26"/>
        <v>886.5</v>
      </c>
      <c r="R140" s="19">
        <f t="shared" si="27"/>
        <v>3211.5</v>
      </c>
      <c r="S140" s="19">
        <f t="shared" si="28"/>
        <v>2323.5</v>
      </c>
      <c r="T140" s="19">
        <f t="shared" si="29"/>
        <v>11788.5</v>
      </c>
      <c r="U140" s="22" t="s">
        <v>36</v>
      </c>
    </row>
    <row r="141" spans="1:21" ht="15.75" customHeight="1">
      <c r="A141" s="21">
        <v>126</v>
      </c>
      <c r="B141" s="21" t="s">
        <v>199</v>
      </c>
      <c r="C141" s="21" t="s">
        <v>48</v>
      </c>
      <c r="D141" s="21" t="s">
        <v>61</v>
      </c>
      <c r="E141" s="22" t="s">
        <v>29</v>
      </c>
      <c r="F141" s="19">
        <v>30000</v>
      </c>
      <c r="G141" s="20">
        <v>0</v>
      </c>
      <c r="H141" s="20">
        <v>25</v>
      </c>
      <c r="I141" s="20">
        <v>0</v>
      </c>
      <c r="J141" s="20">
        <v>0</v>
      </c>
      <c r="K141" s="20">
        <f t="shared" si="24"/>
        <v>861</v>
      </c>
      <c r="L141" s="20">
        <f t="shared" si="25"/>
        <v>2130</v>
      </c>
      <c r="M141" s="20">
        <v>390</v>
      </c>
      <c r="N141" s="20">
        <v>912</v>
      </c>
      <c r="O141" s="20">
        <v>2127</v>
      </c>
      <c r="P141" s="20">
        <v>0</v>
      </c>
      <c r="Q141" s="19">
        <f t="shared" si="26"/>
        <v>1773</v>
      </c>
      <c r="R141" s="19">
        <f t="shared" si="27"/>
        <v>1798</v>
      </c>
      <c r="S141" s="19">
        <f t="shared" si="28"/>
        <v>4647</v>
      </c>
      <c r="T141" s="19">
        <f t="shared" si="29"/>
        <v>28202</v>
      </c>
      <c r="U141" s="22" t="s">
        <v>36</v>
      </c>
    </row>
    <row r="142" spans="1:21" ht="15.75" customHeight="1">
      <c r="A142" s="17">
        <v>127</v>
      </c>
      <c r="B142" s="21" t="s">
        <v>200</v>
      </c>
      <c r="C142" s="21" t="s">
        <v>68</v>
      </c>
      <c r="D142" s="21" t="s">
        <v>69</v>
      </c>
      <c r="E142" s="22" t="s">
        <v>29</v>
      </c>
      <c r="F142" s="19">
        <v>15000</v>
      </c>
      <c r="G142" s="20">
        <v>0</v>
      </c>
      <c r="H142" s="20">
        <v>25</v>
      </c>
      <c r="I142" s="20">
        <v>0</v>
      </c>
      <c r="J142" s="20">
        <f>2000+300+4503.78+1063.6</f>
        <v>7867.3799999999992</v>
      </c>
      <c r="K142" s="20">
        <f t="shared" si="24"/>
        <v>430.5</v>
      </c>
      <c r="L142" s="20">
        <f t="shared" si="25"/>
        <v>1065</v>
      </c>
      <c r="M142" s="20">
        <v>195</v>
      </c>
      <c r="N142" s="20">
        <v>456</v>
      </c>
      <c r="O142" s="20">
        <v>1063.5</v>
      </c>
      <c r="P142" s="20">
        <v>0</v>
      </c>
      <c r="Q142" s="19">
        <f t="shared" si="26"/>
        <v>886.5</v>
      </c>
      <c r="R142" s="19">
        <f t="shared" si="27"/>
        <v>8778.8799999999992</v>
      </c>
      <c r="S142" s="19">
        <f t="shared" si="28"/>
        <v>2323.5</v>
      </c>
      <c r="T142" s="19">
        <f t="shared" si="29"/>
        <v>6221.1200000000008</v>
      </c>
      <c r="U142" s="22" t="s">
        <v>36</v>
      </c>
    </row>
    <row r="143" spans="1:21" ht="15.75" customHeight="1">
      <c r="A143" s="21">
        <v>128</v>
      </c>
      <c r="B143" s="21" t="s">
        <v>201</v>
      </c>
      <c r="C143" s="21" t="s">
        <v>77</v>
      </c>
      <c r="D143" s="21" t="s">
        <v>78</v>
      </c>
      <c r="E143" s="22" t="s">
        <v>29</v>
      </c>
      <c r="F143" s="19">
        <v>10000</v>
      </c>
      <c r="G143" s="20">
        <v>0</v>
      </c>
      <c r="H143" s="20">
        <v>25</v>
      </c>
      <c r="I143" s="20">
        <v>0</v>
      </c>
      <c r="J143" s="20">
        <v>0</v>
      </c>
      <c r="K143" s="20">
        <f t="shared" si="24"/>
        <v>287</v>
      </c>
      <c r="L143" s="20">
        <f t="shared" si="25"/>
        <v>709.99999999999989</v>
      </c>
      <c r="M143" s="20">
        <v>130</v>
      </c>
      <c r="N143" s="20">
        <v>304</v>
      </c>
      <c r="O143" s="20">
        <v>709</v>
      </c>
      <c r="P143" s="20">
        <v>0</v>
      </c>
      <c r="Q143" s="19">
        <f t="shared" si="26"/>
        <v>591</v>
      </c>
      <c r="R143" s="19">
        <f t="shared" si="27"/>
        <v>616</v>
      </c>
      <c r="S143" s="19">
        <f t="shared" si="28"/>
        <v>1549</v>
      </c>
      <c r="T143" s="19">
        <f t="shared" si="29"/>
        <v>9384</v>
      </c>
      <c r="U143" s="22" t="s">
        <v>30</v>
      </c>
    </row>
    <row r="144" spans="1:21" ht="15.75" customHeight="1">
      <c r="A144" s="21">
        <v>129</v>
      </c>
      <c r="B144" s="21" t="s">
        <v>202</v>
      </c>
      <c r="C144" s="21" t="s">
        <v>66</v>
      </c>
      <c r="D144" s="21" t="s">
        <v>61</v>
      </c>
      <c r="E144" s="22" t="s">
        <v>29</v>
      </c>
      <c r="F144" s="19">
        <v>35000</v>
      </c>
      <c r="G144" s="20">
        <v>0</v>
      </c>
      <c r="H144" s="20">
        <v>25</v>
      </c>
      <c r="I144" s="20">
        <v>0</v>
      </c>
      <c r="J144" s="20">
        <v>0</v>
      </c>
      <c r="K144" s="20">
        <f t="shared" si="24"/>
        <v>1004.5</v>
      </c>
      <c r="L144" s="20">
        <f t="shared" si="25"/>
        <v>2485</v>
      </c>
      <c r="M144" s="20">
        <v>455</v>
      </c>
      <c r="N144" s="20">
        <v>1064</v>
      </c>
      <c r="O144" s="20">
        <v>2481.5</v>
      </c>
      <c r="P144" s="20">
        <v>0</v>
      </c>
      <c r="Q144" s="19">
        <f t="shared" si="26"/>
        <v>2068.5</v>
      </c>
      <c r="R144" s="19">
        <f t="shared" si="27"/>
        <v>2093.5</v>
      </c>
      <c r="S144" s="19">
        <f t="shared" si="28"/>
        <v>5421.5</v>
      </c>
      <c r="T144" s="19">
        <f t="shared" si="29"/>
        <v>32906.5</v>
      </c>
      <c r="U144" s="22" t="s">
        <v>30</v>
      </c>
    </row>
    <row r="145" spans="1:21" ht="15.75" customHeight="1">
      <c r="A145" s="17">
        <v>130</v>
      </c>
      <c r="B145" s="21" t="s">
        <v>203</v>
      </c>
      <c r="C145" s="21" t="s">
        <v>71</v>
      </c>
      <c r="D145" s="21" t="s">
        <v>72</v>
      </c>
      <c r="E145" s="22" t="s">
        <v>29</v>
      </c>
      <c r="F145" s="19">
        <v>20000</v>
      </c>
      <c r="G145" s="20">
        <v>0</v>
      </c>
      <c r="H145" s="20">
        <v>25</v>
      </c>
      <c r="I145" s="20">
        <v>0</v>
      </c>
      <c r="J145" s="20">
        <v>0</v>
      </c>
      <c r="K145" s="20">
        <f t="shared" si="24"/>
        <v>574</v>
      </c>
      <c r="L145" s="20">
        <f t="shared" si="25"/>
        <v>1419.9999999999998</v>
      </c>
      <c r="M145" s="20">
        <v>260</v>
      </c>
      <c r="N145" s="20">
        <v>608</v>
      </c>
      <c r="O145" s="20">
        <v>1418</v>
      </c>
      <c r="P145" s="20">
        <v>0</v>
      </c>
      <c r="Q145" s="19">
        <f t="shared" si="26"/>
        <v>1182</v>
      </c>
      <c r="R145" s="19">
        <f t="shared" si="27"/>
        <v>1207</v>
      </c>
      <c r="S145" s="19">
        <f t="shared" si="28"/>
        <v>3098</v>
      </c>
      <c r="T145" s="19">
        <f t="shared" si="29"/>
        <v>18793</v>
      </c>
      <c r="U145" s="22" t="s">
        <v>36</v>
      </c>
    </row>
    <row r="146" spans="1:21" ht="15.75" customHeight="1">
      <c r="A146" s="21">
        <v>131</v>
      </c>
      <c r="B146" s="21" t="s">
        <v>204</v>
      </c>
      <c r="C146" s="21" t="s">
        <v>68</v>
      </c>
      <c r="D146" s="21" t="s">
        <v>86</v>
      </c>
      <c r="E146" s="22" t="s">
        <v>29</v>
      </c>
      <c r="F146" s="19">
        <v>20000</v>
      </c>
      <c r="G146" s="20">
        <v>0</v>
      </c>
      <c r="H146" s="20">
        <v>25</v>
      </c>
      <c r="I146" s="20">
        <v>0</v>
      </c>
      <c r="J146" s="20">
        <v>0</v>
      </c>
      <c r="K146" s="20">
        <f t="shared" ref="K146:K207" si="42">F146*2.87%</f>
        <v>574</v>
      </c>
      <c r="L146" s="20">
        <f t="shared" ref="L146:L207" si="43">F146*7.1%</f>
        <v>1419.9999999999998</v>
      </c>
      <c r="M146" s="20">
        <v>260</v>
      </c>
      <c r="N146" s="20">
        <v>608</v>
      </c>
      <c r="O146" s="20">
        <v>1418</v>
      </c>
      <c r="P146" s="20">
        <v>0</v>
      </c>
      <c r="Q146" s="19">
        <f t="shared" ref="Q146:Q207" si="44">K146+N146</f>
        <v>1182</v>
      </c>
      <c r="R146" s="19">
        <f t="shared" ref="R146:R207" si="45">G146+H146+I146+J146+K146+N146+P146</f>
        <v>1207</v>
      </c>
      <c r="S146" s="19">
        <f t="shared" ref="S146:S207" si="46">L146+M146+O146</f>
        <v>3098</v>
      </c>
      <c r="T146" s="19">
        <f t="shared" ref="T146:T207" si="47">F146-R146</f>
        <v>18793</v>
      </c>
      <c r="U146" s="22" t="s">
        <v>36</v>
      </c>
    </row>
    <row r="147" spans="1:21" ht="15.75" customHeight="1">
      <c r="A147" s="21">
        <v>132</v>
      </c>
      <c r="B147" s="21" t="s">
        <v>205</v>
      </c>
      <c r="C147" s="21" t="s">
        <v>48</v>
      </c>
      <c r="D147" s="21" t="s">
        <v>86</v>
      </c>
      <c r="E147" s="22" t="s">
        <v>29</v>
      </c>
      <c r="F147" s="19">
        <v>35000</v>
      </c>
      <c r="G147" s="20">
        <v>0</v>
      </c>
      <c r="H147" s="20">
        <v>25</v>
      </c>
      <c r="I147" s="20">
        <v>0</v>
      </c>
      <c r="J147" s="20">
        <v>0</v>
      </c>
      <c r="K147" s="20">
        <f t="shared" si="42"/>
        <v>1004.5</v>
      </c>
      <c r="L147" s="20">
        <f t="shared" si="43"/>
        <v>2485</v>
      </c>
      <c r="M147" s="20">
        <v>455</v>
      </c>
      <c r="N147" s="20">
        <v>1064</v>
      </c>
      <c r="O147" s="20">
        <v>2481.5</v>
      </c>
      <c r="P147" s="20">
        <v>0</v>
      </c>
      <c r="Q147" s="19">
        <f t="shared" si="44"/>
        <v>2068.5</v>
      </c>
      <c r="R147" s="19">
        <f t="shared" si="45"/>
        <v>2093.5</v>
      </c>
      <c r="S147" s="19">
        <f t="shared" si="46"/>
        <v>5421.5</v>
      </c>
      <c r="T147" s="19">
        <f t="shared" si="47"/>
        <v>32906.5</v>
      </c>
      <c r="U147" s="22" t="s">
        <v>36</v>
      </c>
    </row>
    <row r="148" spans="1:21" ht="15.75" customHeight="1">
      <c r="A148" s="17">
        <v>133</v>
      </c>
      <c r="B148" s="21" t="s">
        <v>206</v>
      </c>
      <c r="C148" s="21" t="s">
        <v>77</v>
      </c>
      <c r="D148" s="21" t="s">
        <v>61</v>
      </c>
      <c r="E148" s="22" t="s">
        <v>29</v>
      </c>
      <c r="F148" s="19">
        <v>15000</v>
      </c>
      <c r="G148" s="20">
        <v>0</v>
      </c>
      <c r="H148" s="20">
        <v>25</v>
      </c>
      <c r="I148" s="20">
        <v>0</v>
      </c>
      <c r="J148" s="20">
        <v>0</v>
      </c>
      <c r="K148" s="20">
        <f t="shared" si="42"/>
        <v>430.5</v>
      </c>
      <c r="L148" s="20">
        <f t="shared" si="43"/>
        <v>1065</v>
      </c>
      <c r="M148" s="20">
        <v>195</v>
      </c>
      <c r="N148" s="20">
        <v>456</v>
      </c>
      <c r="O148" s="20">
        <v>1063.5</v>
      </c>
      <c r="P148" s="20">
        <v>0</v>
      </c>
      <c r="Q148" s="19">
        <f t="shared" si="44"/>
        <v>886.5</v>
      </c>
      <c r="R148" s="19">
        <f t="shared" si="45"/>
        <v>911.5</v>
      </c>
      <c r="S148" s="19">
        <f t="shared" si="46"/>
        <v>2323.5</v>
      </c>
      <c r="T148" s="19">
        <f t="shared" si="47"/>
        <v>14088.5</v>
      </c>
      <c r="U148" s="22" t="s">
        <v>36</v>
      </c>
    </row>
    <row r="149" spans="1:21" ht="15.75" customHeight="1">
      <c r="A149" s="21">
        <v>134</v>
      </c>
      <c r="B149" s="21" t="s">
        <v>207</v>
      </c>
      <c r="C149" s="21" t="s">
        <v>48</v>
      </c>
      <c r="D149" s="21" t="s">
        <v>208</v>
      </c>
      <c r="E149" s="22" t="s">
        <v>29</v>
      </c>
      <c r="F149" s="19">
        <v>20000</v>
      </c>
      <c r="G149" s="20">
        <v>0</v>
      </c>
      <c r="H149" s="20">
        <v>25</v>
      </c>
      <c r="I149" s="20">
        <v>0</v>
      </c>
      <c r="J149" s="20">
        <v>0</v>
      </c>
      <c r="K149" s="20">
        <f t="shared" si="42"/>
        <v>574</v>
      </c>
      <c r="L149" s="20">
        <f t="shared" si="43"/>
        <v>1419.9999999999998</v>
      </c>
      <c r="M149" s="20">
        <v>260</v>
      </c>
      <c r="N149" s="20">
        <v>608</v>
      </c>
      <c r="O149" s="20">
        <v>1418</v>
      </c>
      <c r="P149" s="20">
        <v>0</v>
      </c>
      <c r="Q149" s="19">
        <f t="shared" si="44"/>
        <v>1182</v>
      </c>
      <c r="R149" s="19">
        <f t="shared" si="45"/>
        <v>1207</v>
      </c>
      <c r="S149" s="19">
        <f t="shared" si="46"/>
        <v>3098</v>
      </c>
      <c r="T149" s="19">
        <f t="shared" si="47"/>
        <v>18793</v>
      </c>
      <c r="U149" s="22" t="s">
        <v>36</v>
      </c>
    </row>
    <row r="150" spans="1:21" ht="15.75" customHeight="1">
      <c r="A150" s="21">
        <v>135</v>
      </c>
      <c r="B150" s="21" t="s">
        <v>209</v>
      </c>
      <c r="C150" s="21" t="s">
        <v>77</v>
      </c>
      <c r="D150" s="21" t="s">
        <v>61</v>
      </c>
      <c r="E150" s="22" t="s">
        <v>29</v>
      </c>
      <c r="F150" s="19">
        <v>10000</v>
      </c>
      <c r="G150" s="20">
        <v>0</v>
      </c>
      <c r="H150" s="20">
        <v>25</v>
      </c>
      <c r="I150" s="20">
        <v>0</v>
      </c>
      <c r="J150" s="20">
        <f>500+300+1278.19</f>
        <v>2078.19</v>
      </c>
      <c r="K150" s="20">
        <f t="shared" si="42"/>
        <v>287</v>
      </c>
      <c r="L150" s="20">
        <f t="shared" si="43"/>
        <v>709.99999999999989</v>
      </c>
      <c r="M150" s="20">
        <v>130</v>
      </c>
      <c r="N150" s="20">
        <v>304</v>
      </c>
      <c r="O150" s="20">
        <v>709</v>
      </c>
      <c r="P150" s="20">
        <v>0</v>
      </c>
      <c r="Q150" s="19">
        <f t="shared" si="44"/>
        <v>591</v>
      </c>
      <c r="R150" s="19">
        <f t="shared" si="45"/>
        <v>2694.19</v>
      </c>
      <c r="S150" s="19">
        <f t="shared" si="46"/>
        <v>1549</v>
      </c>
      <c r="T150" s="19">
        <f t="shared" si="47"/>
        <v>7305.8099999999995</v>
      </c>
      <c r="U150" s="22" t="s">
        <v>30</v>
      </c>
    </row>
    <row r="151" spans="1:21" ht="15.75" customHeight="1">
      <c r="A151" s="17">
        <v>136</v>
      </c>
      <c r="B151" s="21" t="s">
        <v>210</v>
      </c>
      <c r="C151" s="21" t="s">
        <v>63</v>
      </c>
      <c r="D151" s="21" t="s">
        <v>78</v>
      </c>
      <c r="E151" s="22" t="s">
        <v>29</v>
      </c>
      <c r="F151" s="19">
        <v>20000</v>
      </c>
      <c r="G151" s="20">
        <v>0</v>
      </c>
      <c r="H151" s="20">
        <v>25</v>
      </c>
      <c r="I151" s="20">
        <v>0</v>
      </c>
      <c r="J151" s="20">
        <v>0</v>
      </c>
      <c r="K151" s="20">
        <f t="shared" si="42"/>
        <v>574</v>
      </c>
      <c r="L151" s="20">
        <f t="shared" si="43"/>
        <v>1419.9999999999998</v>
      </c>
      <c r="M151" s="20">
        <v>260</v>
      </c>
      <c r="N151" s="20">
        <v>608</v>
      </c>
      <c r="O151" s="20">
        <v>1418</v>
      </c>
      <c r="P151" s="20">
        <v>0</v>
      </c>
      <c r="Q151" s="19">
        <f t="shared" si="44"/>
        <v>1182</v>
      </c>
      <c r="R151" s="19">
        <f t="shared" si="45"/>
        <v>1207</v>
      </c>
      <c r="S151" s="19">
        <f t="shared" si="46"/>
        <v>3098</v>
      </c>
      <c r="T151" s="19">
        <f t="shared" si="47"/>
        <v>18793</v>
      </c>
      <c r="U151" s="22" t="s">
        <v>30</v>
      </c>
    </row>
    <row r="152" spans="1:21" ht="15.75" customHeight="1">
      <c r="A152" s="21">
        <v>137</v>
      </c>
      <c r="B152" s="21" t="s">
        <v>211</v>
      </c>
      <c r="C152" s="21" t="s">
        <v>57</v>
      </c>
      <c r="D152" s="21" t="s">
        <v>58</v>
      </c>
      <c r="E152" s="22" t="s">
        <v>29</v>
      </c>
      <c r="F152" s="19">
        <v>10000</v>
      </c>
      <c r="G152" s="20">
        <v>0</v>
      </c>
      <c r="H152" s="20">
        <v>25</v>
      </c>
      <c r="I152" s="20">
        <v>1165.46</v>
      </c>
      <c r="J152" s="20">
        <f>1000+1000+1880.26</f>
        <v>3880.26</v>
      </c>
      <c r="K152" s="20">
        <f t="shared" si="42"/>
        <v>287</v>
      </c>
      <c r="L152" s="20">
        <f t="shared" si="43"/>
        <v>709.99999999999989</v>
      </c>
      <c r="M152" s="20">
        <v>130</v>
      </c>
      <c r="N152" s="20">
        <v>304</v>
      </c>
      <c r="O152" s="20">
        <v>709</v>
      </c>
      <c r="P152" s="20">
        <v>0</v>
      </c>
      <c r="Q152" s="19">
        <f t="shared" si="44"/>
        <v>591</v>
      </c>
      <c r="R152" s="19">
        <f t="shared" si="45"/>
        <v>5661.72</v>
      </c>
      <c r="S152" s="19">
        <f t="shared" si="46"/>
        <v>1549</v>
      </c>
      <c r="T152" s="19">
        <f t="shared" si="47"/>
        <v>4338.28</v>
      </c>
      <c r="U152" s="22" t="s">
        <v>36</v>
      </c>
    </row>
    <row r="153" spans="1:21" ht="15.75" customHeight="1">
      <c r="A153" s="21">
        <v>138</v>
      </c>
      <c r="B153" s="21" t="s">
        <v>212</v>
      </c>
      <c r="C153" s="21" t="s">
        <v>77</v>
      </c>
      <c r="D153" s="21" t="s">
        <v>61</v>
      </c>
      <c r="E153" s="22" t="s">
        <v>29</v>
      </c>
      <c r="F153" s="19">
        <v>15000</v>
      </c>
      <c r="G153" s="20">
        <v>0</v>
      </c>
      <c r="H153" s="20">
        <v>25</v>
      </c>
      <c r="I153" s="20">
        <v>0</v>
      </c>
      <c r="J153" s="20">
        <v>0</v>
      </c>
      <c r="K153" s="20">
        <f t="shared" si="42"/>
        <v>430.5</v>
      </c>
      <c r="L153" s="20">
        <f t="shared" si="43"/>
        <v>1065</v>
      </c>
      <c r="M153" s="20">
        <v>195</v>
      </c>
      <c r="N153" s="20">
        <v>456</v>
      </c>
      <c r="O153" s="20">
        <v>1063.5</v>
      </c>
      <c r="P153" s="20">
        <v>0</v>
      </c>
      <c r="Q153" s="19">
        <f t="shared" si="44"/>
        <v>886.5</v>
      </c>
      <c r="R153" s="19">
        <f t="shared" si="45"/>
        <v>911.5</v>
      </c>
      <c r="S153" s="19">
        <f t="shared" si="46"/>
        <v>2323.5</v>
      </c>
      <c r="T153" s="19">
        <f t="shared" si="47"/>
        <v>14088.5</v>
      </c>
      <c r="U153" s="22" t="s">
        <v>30</v>
      </c>
    </row>
    <row r="154" spans="1:21" ht="15.75" customHeight="1">
      <c r="A154" s="17">
        <v>139</v>
      </c>
      <c r="B154" s="21" t="s">
        <v>213</v>
      </c>
      <c r="C154" s="21" t="s">
        <v>171</v>
      </c>
      <c r="D154" s="21" t="s">
        <v>172</v>
      </c>
      <c r="E154" s="22" t="s">
        <v>29</v>
      </c>
      <c r="F154" s="19">
        <v>20000</v>
      </c>
      <c r="G154" s="20">
        <v>0</v>
      </c>
      <c r="H154" s="20">
        <v>25</v>
      </c>
      <c r="I154" s="20">
        <v>0</v>
      </c>
      <c r="J154" s="20">
        <v>0</v>
      </c>
      <c r="K154" s="20">
        <f t="shared" si="42"/>
        <v>574</v>
      </c>
      <c r="L154" s="20">
        <f t="shared" si="43"/>
        <v>1419.9999999999998</v>
      </c>
      <c r="M154" s="20">
        <v>260</v>
      </c>
      <c r="N154" s="20">
        <v>608</v>
      </c>
      <c r="O154" s="20">
        <v>1418</v>
      </c>
      <c r="P154" s="20">
        <v>0</v>
      </c>
      <c r="Q154" s="19">
        <f t="shared" si="44"/>
        <v>1182</v>
      </c>
      <c r="R154" s="19">
        <f t="shared" si="45"/>
        <v>1207</v>
      </c>
      <c r="S154" s="19">
        <f t="shared" si="46"/>
        <v>3098</v>
      </c>
      <c r="T154" s="19">
        <f t="shared" si="47"/>
        <v>18793</v>
      </c>
      <c r="U154" s="22" t="s">
        <v>30</v>
      </c>
    </row>
    <row r="155" spans="1:21" ht="15.75" customHeight="1">
      <c r="A155" s="21">
        <v>140</v>
      </c>
      <c r="B155" s="21" t="s">
        <v>214</v>
      </c>
      <c r="C155" s="21" t="s">
        <v>63</v>
      </c>
      <c r="D155" s="21" t="s">
        <v>98</v>
      </c>
      <c r="E155" s="22" t="s">
        <v>29</v>
      </c>
      <c r="F155" s="19">
        <v>20000</v>
      </c>
      <c r="G155" s="20">
        <v>0</v>
      </c>
      <c r="H155" s="20">
        <v>25</v>
      </c>
      <c r="I155" s="20">
        <v>0</v>
      </c>
      <c r="J155" s="20">
        <v>0</v>
      </c>
      <c r="K155" s="20">
        <f t="shared" si="42"/>
        <v>574</v>
      </c>
      <c r="L155" s="20">
        <f t="shared" si="43"/>
        <v>1419.9999999999998</v>
      </c>
      <c r="M155" s="20">
        <v>260</v>
      </c>
      <c r="N155" s="20">
        <v>608</v>
      </c>
      <c r="O155" s="20">
        <v>1418</v>
      </c>
      <c r="P155" s="20">
        <v>0</v>
      </c>
      <c r="Q155" s="19">
        <f t="shared" si="44"/>
        <v>1182</v>
      </c>
      <c r="R155" s="19">
        <f t="shared" si="45"/>
        <v>1207</v>
      </c>
      <c r="S155" s="19">
        <f t="shared" si="46"/>
        <v>3098</v>
      </c>
      <c r="T155" s="19">
        <f t="shared" si="47"/>
        <v>18793</v>
      </c>
      <c r="U155" s="22" t="s">
        <v>30</v>
      </c>
    </row>
    <row r="156" spans="1:21" ht="15.75" customHeight="1">
      <c r="A156" s="21">
        <v>141</v>
      </c>
      <c r="B156" s="21" t="s">
        <v>215</v>
      </c>
      <c r="C156" s="21" t="s">
        <v>216</v>
      </c>
      <c r="D156" s="21" t="s">
        <v>52</v>
      </c>
      <c r="E156" s="22" t="s">
        <v>29</v>
      </c>
      <c r="F156" s="19">
        <v>30000</v>
      </c>
      <c r="G156" s="20">
        <v>0</v>
      </c>
      <c r="H156" s="20">
        <v>25</v>
      </c>
      <c r="I156" s="20">
        <v>0</v>
      </c>
      <c r="J156" s="20">
        <f>500+300</f>
        <v>800</v>
      </c>
      <c r="K156" s="20">
        <f t="shared" si="42"/>
        <v>861</v>
      </c>
      <c r="L156" s="20">
        <f t="shared" si="43"/>
        <v>2130</v>
      </c>
      <c r="M156" s="20">
        <v>390</v>
      </c>
      <c r="N156" s="20">
        <v>912</v>
      </c>
      <c r="O156" s="20">
        <v>2127</v>
      </c>
      <c r="P156" s="20">
        <v>1587.38</v>
      </c>
      <c r="Q156" s="19">
        <f t="shared" si="44"/>
        <v>1773</v>
      </c>
      <c r="R156" s="19">
        <f t="shared" si="45"/>
        <v>4185.38</v>
      </c>
      <c r="S156" s="19">
        <f t="shared" si="46"/>
        <v>4647</v>
      </c>
      <c r="T156" s="19">
        <f t="shared" si="47"/>
        <v>25814.62</v>
      </c>
      <c r="U156" s="22" t="s">
        <v>30</v>
      </c>
    </row>
    <row r="157" spans="1:21" ht="15.75" customHeight="1">
      <c r="A157" s="17">
        <v>142</v>
      </c>
      <c r="B157" s="21" t="s">
        <v>217</v>
      </c>
      <c r="C157" s="21" t="s">
        <v>57</v>
      </c>
      <c r="D157" s="21" t="s">
        <v>58</v>
      </c>
      <c r="E157" s="22" t="s">
        <v>29</v>
      </c>
      <c r="F157" s="19">
        <v>15000</v>
      </c>
      <c r="G157" s="20">
        <v>0</v>
      </c>
      <c r="H157" s="20">
        <v>25</v>
      </c>
      <c r="I157" s="20">
        <v>0</v>
      </c>
      <c r="J157" s="20">
        <f>300+5491.42</f>
        <v>5791.42</v>
      </c>
      <c r="K157" s="20">
        <f t="shared" si="42"/>
        <v>430.5</v>
      </c>
      <c r="L157" s="20">
        <f t="shared" si="43"/>
        <v>1065</v>
      </c>
      <c r="M157" s="20">
        <v>195</v>
      </c>
      <c r="N157" s="20">
        <v>456</v>
      </c>
      <c r="O157" s="20">
        <v>1063.5</v>
      </c>
      <c r="P157" s="20">
        <v>0</v>
      </c>
      <c r="Q157" s="19">
        <f t="shared" si="44"/>
        <v>886.5</v>
      </c>
      <c r="R157" s="19">
        <f t="shared" si="45"/>
        <v>6702.92</v>
      </c>
      <c r="S157" s="19">
        <f t="shared" si="46"/>
        <v>2323.5</v>
      </c>
      <c r="T157" s="19">
        <f t="shared" si="47"/>
        <v>8297.08</v>
      </c>
      <c r="U157" s="22" t="s">
        <v>36</v>
      </c>
    </row>
    <row r="158" spans="1:21" ht="15.75" customHeight="1">
      <c r="A158" s="21">
        <v>143</v>
      </c>
      <c r="B158" s="21" t="s">
        <v>218</v>
      </c>
      <c r="C158" s="21" t="s">
        <v>48</v>
      </c>
      <c r="D158" s="21" t="s">
        <v>78</v>
      </c>
      <c r="E158" s="22" t="s">
        <v>29</v>
      </c>
      <c r="F158" s="19">
        <v>15000</v>
      </c>
      <c r="G158" s="20">
        <v>0</v>
      </c>
      <c r="H158" s="20">
        <v>25</v>
      </c>
      <c r="I158" s="20">
        <v>0</v>
      </c>
      <c r="J158" s="20">
        <v>0</v>
      </c>
      <c r="K158" s="20">
        <f t="shared" si="42"/>
        <v>430.5</v>
      </c>
      <c r="L158" s="20">
        <f t="shared" si="43"/>
        <v>1065</v>
      </c>
      <c r="M158" s="20">
        <v>195</v>
      </c>
      <c r="N158" s="20">
        <v>456</v>
      </c>
      <c r="O158" s="20">
        <v>1063.5</v>
      </c>
      <c r="P158" s="20">
        <v>0</v>
      </c>
      <c r="Q158" s="19">
        <f t="shared" si="44"/>
        <v>886.5</v>
      </c>
      <c r="R158" s="19">
        <f t="shared" si="45"/>
        <v>911.5</v>
      </c>
      <c r="S158" s="19">
        <f t="shared" si="46"/>
        <v>2323.5</v>
      </c>
      <c r="T158" s="19">
        <f t="shared" si="47"/>
        <v>14088.5</v>
      </c>
      <c r="U158" s="22" t="s">
        <v>36</v>
      </c>
    </row>
    <row r="159" spans="1:21" ht="15.75" customHeight="1">
      <c r="A159" s="21">
        <v>144</v>
      </c>
      <c r="B159" s="21" t="s">
        <v>219</v>
      </c>
      <c r="C159" s="21" t="s">
        <v>71</v>
      </c>
      <c r="D159" s="21" t="s">
        <v>72</v>
      </c>
      <c r="E159" s="22" t="s">
        <v>29</v>
      </c>
      <c r="F159" s="19">
        <v>15000</v>
      </c>
      <c r="G159" s="20">
        <v>0</v>
      </c>
      <c r="H159" s="20">
        <v>25</v>
      </c>
      <c r="I159" s="20">
        <v>0</v>
      </c>
      <c r="J159" s="20">
        <v>0</v>
      </c>
      <c r="K159" s="20">
        <f t="shared" si="42"/>
        <v>430.5</v>
      </c>
      <c r="L159" s="20">
        <f t="shared" si="43"/>
        <v>1065</v>
      </c>
      <c r="M159" s="20">
        <v>195</v>
      </c>
      <c r="N159" s="20">
        <v>456</v>
      </c>
      <c r="O159" s="20">
        <v>1063.5</v>
      </c>
      <c r="P159" s="20">
        <v>0</v>
      </c>
      <c r="Q159" s="19">
        <f t="shared" si="44"/>
        <v>886.5</v>
      </c>
      <c r="R159" s="19">
        <f t="shared" si="45"/>
        <v>911.5</v>
      </c>
      <c r="S159" s="19">
        <f t="shared" si="46"/>
        <v>2323.5</v>
      </c>
      <c r="T159" s="19">
        <f t="shared" si="47"/>
        <v>14088.5</v>
      </c>
      <c r="U159" s="22" t="s">
        <v>36</v>
      </c>
    </row>
    <row r="160" spans="1:21" ht="15.75" customHeight="1">
      <c r="A160" s="17">
        <v>145</v>
      </c>
      <c r="B160" s="21" t="s">
        <v>220</v>
      </c>
      <c r="C160" s="21" t="s">
        <v>57</v>
      </c>
      <c r="D160" s="21" t="s">
        <v>72</v>
      </c>
      <c r="E160" s="22" t="s">
        <v>29</v>
      </c>
      <c r="F160" s="19">
        <v>10000</v>
      </c>
      <c r="G160" s="20">
        <v>0</v>
      </c>
      <c r="H160" s="20">
        <v>25</v>
      </c>
      <c r="I160" s="20">
        <v>0</v>
      </c>
      <c r="J160" s="20">
        <f>700+300+2639.79</f>
        <v>3639.79</v>
      </c>
      <c r="K160" s="20">
        <f t="shared" si="42"/>
        <v>287</v>
      </c>
      <c r="L160" s="20">
        <f t="shared" si="43"/>
        <v>709.99999999999989</v>
      </c>
      <c r="M160" s="20">
        <v>130</v>
      </c>
      <c r="N160" s="20">
        <v>304</v>
      </c>
      <c r="O160" s="20">
        <v>709</v>
      </c>
      <c r="P160" s="20">
        <v>0</v>
      </c>
      <c r="Q160" s="19">
        <f t="shared" si="44"/>
        <v>591</v>
      </c>
      <c r="R160" s="19">
        <f t="shared" si="45"/>
        <v>4255.79</v>
      </c>
      <c r="S160" s="19">
        <f t="shared" si="46"/>
        <v>1549</v>
      </c>
      <c r="T160" s="19">
        <f t="shared" si="47"/>
        <v>5744.21</v>
      </c>
      <c r="U160" s="22" t="s">
        <v>36</v>
      </c>
    </row>
    <row r="161" spans="1:21" ht="15.75" customHeight="1">
      <c r="A161" s="21">
        <v>146</v>
      </c>
      <c r="B161" s="21" t="s">
        <v>221</v>
      </c>
      <c r="C161" s="21" t="s">
        <v>68</v>
      </c>
      <c r="D161" s="21" t="s">
        <v>49</v>
      </c>
      <c r="E161" s="22" t="s">
        <v>29</v>
      </c>
      <c r="F161" s="19">
        <v>13000</v>
      </c>
      <c r="G161" s="20">
        <v>0</v>
      </c>
      <c r="H161" s="20">
        <v>25</v>
      </c>
      <c r="I161" s="20">
        <v>0</v>
      </c>
      <c r="J161" s="20">
        <f>700+300+1154.13</f>
        <v>2154.13</v>
      </c>
      <c r="K161" s="20">
        <f t="shared" si="42"/>
        <v>373.1</v>
      </c>
      <c r="L161" s="20">
        <f t="shared" si="43"/>
        <v>922.99999999999989</v>
      </c>
      <c r="M161" s="20">
        <v>169</v>
      </c>
      <c r="N161" s="20">
        <v>395.2</v>
      </c>
      <c r="O161" s="20">
        <v>921.7</v>
      </c>
      <c r="P161" s="20">
        <v>0</v>
      </c>
      <c r="Q161" s="19">
        <f t="shared" si="44"/>
        <v>768.3</v>
      </c>
      <c r="R161" s="19">
        <f t="shared" si="45"/>
        <v>2947.43</v>
      </c>
      <c r="S161" s="19">
        <f t="shared" si="46"/>
        <v>2013.7</v>
      </c>
      <c r="T161" s="19">
        <f t="shared" si="47"/>
        <v>10052.57</v>
      </c>
      <c r="U161" s="22" t="s">
        <v>30</v>
      </c>
    </row>
    <row r="162" spans="1:21" ht="15.75" customHeight="1">
      <c r="A162" s="21">
        <v>147</v>
      </c>
      <c r="B162" s="21" t="s">
        <v>222</v>
      </c>
      <c r="C162" s="21" t="s">
        <v>63</v>
      </c>
      <c r="D162" s="21" t="s">
        <v>98</v>
      </c>
      <c r="E162" s="22" t="s">
        <v>29</v>
      </c>
      <c r="F162" s="19">
        <v>30000</v>
      </c>
      <c r="G162" s="20">
        <v>0</v>
      </c>
      <c r="H162" s="20">
        <v>25</v>
      </c>
      <c r="I162" s="20">
        <v>0</v>
      </c>
      <c r="J162" s="20">
        <v>0</v>
      </c>
      <c r="K162" s="20">
        <f t="shared" si="42"/>
        <v>861</v>
      </c>
      <c r="L162" s="20">
        <f t="shared" si="43"/>
        <v>2130</v>
      </c>
      <c r="M162" s="20">
        <v>390</v>
      </c>
      <c r="N162" s="20">
        <v>912</v>
      </c>
      <c r="O162" s="20">
        <v>2127</v>
      </c>
      <c r="P162" s="20">
        <v>0</v>
      </c>
      <c r="Q162" s="19">
        <f t="shared" si="44"/>
        <v>1773</v>
      </c>
      <c r="R162" s="19">
        <f t="shared" si="45"/>
        <v>1798</v>
      </c>
      <c r="S162" s="19">
        <f t="shared" si="46"/>
        <v>4647</v>
      </c>
      <c r="T162" s="19">
        <f t="shared" si="47"/>
        <v>28202</v>
      </c>
      <c r="U162" s="22" t="s">
        <v>30</v>
      </c>
    </row>
    <row r="163" spans="1:21" ht="15.75" customHeight="1">
      <c r="A163" s="17">
        <v>148</v>
      </c>
      <c r="B163" s="21" t="s">
        <v>223</v>
      </c>
      <c r="C163" s="21" t="s">
        <v>66</v>
      </c>
      <c r="D163" s="21" t="s">
        <v>78</v>
      </c>
      <c r="E163" s="22" t="s">
        <v>29</v>
      </c>
      <c r="F163" s="19">
        <v>21420.18</v>
      </c>
      <c r="G163" s="20">
        <v>0</v>
      </c>
      <c r="H163" s="20">
        <v>25</v>
      </c>
      <c r="I163" s="20">
        <v>0</v>
      </c>
      <c r="J163" s="20">
        <v>0</v>
      </c>
      <c r="K163" s="20">
        <f t="shared" si="42"/>
        <v>614.75916600000005</v>
      </c>
      <c r="L163" s="20">
        <f t="shared" si="43"/>
        <v>1520.83278</v>
      </c>
      <c r="M163" s="20">
        <v>278.45999999999998</v>
      </c>
      <c r="N163" s="20">
        <v>651.17347200000006</v>
      </c>
      <c r="O163" s="20">
        <v>1518.6907620000002</v>
      </c>
      <c r="P163" s="20">
        <v>0</v>
      </c>
      <c r="Q163" s="19">
        <f t="shared" si="44"/>
        <v>1265.9326380000002</v>
      </c>
      <c r="R163" s="19">
        <f t="shared" si="45"/>
        <v>1290.9326380000002</v>
      </c>
      <c r="S163" s="19">
        <f t="shared" si="46"/>
        <v>3317.9835419999999</v>
      </c>
      <c r="T163" s="19">
        <f t="shared" si="47"/>
        <v>20129.247362000002</v>
      </c>
      <c r="U163" s="22" t="s">
        <v>30</v>
      </c>
    </row>
    <row r="164" spans="1:21" ht="15.75" customHeight="1">
      <c r="A164" s="21">
        <v>149</v>
      </c>
      <c r="B164" s="21" t="s">
        <v>224</v>
      </c>
      <c r="C164" s="21" t="s">
        <v>71</v>
      </c>
      <c r="D164" s="21" t="s">
        <v>72</v>
      </c>
      <c r="E164" s="22" t="s">
        <v>29</v>
      </c>
      <c r="F164" s="19">
        <v>10000</v>
      </c>
      <c r="G164" s="20">
        <v>0</v>
      </c>
      <c r="H164" s="20">
        <v>25</v>
      </c>
      <c r="I164" s="20">
        <v>0</v>
      </c>
      <c r="J164" s="20">
        <v>0</v>
      </c>
      <c r="K164" s="20">
        <f t="shared" si="42"/>
        <v>287</v>
      </c>
      <c r="L164" s="20">
        <f t="shared" si="43"/>
        <v>709.99999999999989</v>
      </c>
      <c r="M164" s="20">
        <v>130</v>
      </c>
      <c r="N164" s="20">
        <v>304</v>
      </c>
      <c r="O164" s="20">
        <v>709</v>
      </c>
      <c r="P164" s="20">
        <v>0</v>
      </c>
      <c r="Q164" s="19">
        <f t="shared" si="44"/>
        <v>591</v>
      </c>
      <c r="R164" s="19">
        <f t="shared" si="45"/>
        <v>616</v>
      </c>
      <c r="S164" s="19">
        <f t="shared" si="46"/>
        <v>1549</v>
      </c>
      <c r="T164" s="19">
        <f t="shared" si="47"/>
        <v>9384</v>
      </c>
      <c r="U164" s="22" t="s">
        <v>36</v>
      </c>
    </row>
    <row r="165" spans="1:21" ht="15.75" customHeight="1">
      <c r="A165" s="21">
        <v>150</v>
      </c>
      <c r="B165" s="21" t="s">
        <v>225</v>
      </c>
      <c r="C165" s="21" t="s">
        <v>196</v>
      </c>
      <c r="D165" s="21" t="s">
        <v>72</v>
      </c>
      <c r="E165" s="22" t="s">
        <v>29</v>
      </c>
      <c r="F165" s="19">
        <v>26200</v>
      </c>
      <c r="G165" s="20">
        <v>0</v>
      </c>
      <c r="H165" s="20">
        <v>25</v>
      </c>
      <c r="I165" s="20">
        <v>0</v>
      </c>
      <c r="J165" s="20">
        <v>0</v>
      </c>
      <c r="K165" s="20">
        <f t="shared" si="42"/>
        <v>751.93999999999994</v>
      </c>
      <c r="L165" s="20">
        <f t="shared" si="43"/>
        <v>1860.1999999999998</v>
      </c>
      <c r="M165" s="20">
        <v>340.6</v>
      </c>
      <c r="N165" s="20">
        <v>796.48</v>
      </c>
      <c r="O165" s="20">
        <v>1857.5800000000002</v>
      </c>
      <c r="P165" s="20">
        <v>0</v>
      </c>
      <c r="Q165" s="19">
        <f t="shared" si="44"/>
        <v>1548.42</v>
      </c>
      <c r="R165" s="19">
        <f t="shared" si="45"/>
        <v>1573.42</v>
      </c>
      <c r="S165" s="19">
        <f t="shared" si="46"/>
        <v>4058.38</v>
      </c>
      <c r="T165" s="19">
        <f t="shared" si="47"/>
        <v>24626.58</v>
      </c>
      <c r="U165" s="22" t="s">
        <v>30</v>
      </c>
    </row>
    <row r="166" spans="1:21" ht="15.75" customHeight="1">
      <c r="A166" s="17">
        <v>151</v>
      </c>
      <c r="B166" s="21" t="s">
        <v>226</v>
      </c>
      <c r="C166" s="21" t="s">
        <v>227</v>
      </c>
      <c r="D166" s="21" t="s">
        <v>69</v>
      </c>
      <c r="E166" s="22" t="s">
        <v>29</v>
      </c>
      <c r="F166" s="19">
        <v>25000</v>
      </c>
      <c r="G166" s="20">
        <v>0</v>
      </c>
      <c r="H166" s="20">
        <v>25</v>
      </c>
      <c r="I166" s="20">
        <v>0</v>
      </c>
      <c r="J166" s="20">
        <f>300+1000+2068.09</f>
        <v>3368.09</v>
      </c>
      <c r="K166" s="20">
        <f t="shared" si="42"/>
        <v>717.5</v>
      </c>
      <c r="L166" s="20">
        <f t="shared" si="43"/>
        <v>1774.9999999999998</v>
      </c>
      <c r="M166" s="20">
        <v>325</v>
      </c>
      <c r="N166" s="20">
        <v>760</v>
      </c>
      <c r="O166" s="20">
        <v>1772.5000000000002</v>
      </c>
      <c r="P166" s="20">
        <v>0</v>
      </c>
      <c r="Q166" s="19">
        <f t="shared" si="44"/>
        <v>1477.5</v>
      </c>
      <c r="R166" s="19">
        <f t="shared" si="45"/>
        <v>4870.59</v>
      </c>
      <c r="S166" s="19">
        <f t="shared" si="46"/>
        <v>3872.5</v>
      </c>
      <c r="T166" s="19">
        <f t="shared" si="47"/>
        <v>20129.41</v>
      </c>
      <c r="U166" s="22" t="s">
        <v>30</v>
      </c>
    </row>
    <row r="167" spans="1:21" ht="15.75" customHeight="1">
      <c r="A167" s="21">
        <v>152</v>
      </c>
      <c r="B167" s="21" t="s">
        <v>228</v>
      </c>
      <c r="C167" s="21" t="s">
        <v>66</v>
      </c>
      <c r="D167" s="21" t="s">
        <v>58</v>
      </c>
      <c r="E167" s="22" t="s">
        <v>29</v>
      </c>
      <c r="F167" s="19">
        <v>30000</v>
      </c>
      <c r="G167" s="20">
        <v>0</v>
      </c>
      <c r="H167" s="20">
        <v>25</v>
      </c>
      <c r="I167" s="20">
        <v>0</v>
      </c>
      <c r="J167" s="20">
        <v>0</v>
      </c>
      <c r="K167" s="20">
        <f t="shared" si="42"/>
        <v>861</v>
      </c>
      <c r="L167" s="20">
        <f t="shared" si="43"/>
        <v>2130</v>
      </c>
      <c r="M167" s="20">
        <v>390</v>
      </c>
      <c r="N167" s="20">
        <v>912</v>
      </c>
      <c r="O167" s="20">
        <v>2127</v>
      </c>
      <c r="P167" s="20">
        <v>0</v>
      </c>
      <c r="Q167" s="19">
        <f t="shared" si="44"/>
        <v>1773</v>
      </c>
      <c r="R167" s="19">
        <f t="shared" si="45"/>
        <v>1798</v>
      </c>
      <c r="S167" s="19">
        <f t="shared" si="46"/>
        <v>4647</v>
      </c>
      <c r="T167" s="19">
        <f t="shared" si="47"/>
        <v>28202</v>
      </c>
      <c r="U167" s="22" t="s">
        <v>30</v>
      </c>
    </row>
    <row r="168" spans="1:21" ht="15.75" customHeight="1">
      <c r="A168" s="21">
        <v>153</v>
      </c>
      <c r="B168" s="21" t="s">
        <v>229</v>
      </c>
      <c r="C168" s="21" t="s">
        <v>88</v>
      </c>
      <c r="D168" s="21" t="s">
        <v>72</v>
      </c>
      <c r="E168" s="22" t="s">
        <v>29</v>
      </c>
      <c r="F168" s="19">
        <v>15000</v>
      </c>
      <c r="G168" s="20">
        <v>0</v>
      </c>
      <c r="H168" s="20">
        <v>25</v>
      </c>
      <c r="I168" s="20">
        <v>0</v>
      </c>
      <c r="J168" s="20">
        <v>0</v>
      </c>
      <c r="K168" s="20">
        <f t="shared" si="42"/>
        <v>430.5</v>
      </c>
      <c r="L168" s="20">
        <f t="shared" si="43"/>
        <v>1065</v>
      </c>
      <c r="M168" s="20">
        <v>195</v>
      </c>
      <c r="N168" s="20">
        <v>456</v>
      </c>
      <c r="O168" s="20">
        <v>1063.5</v>
      </c>
      <c r="P168" s="20">
        <v>0</v>
      </c>
      <c r="Q168" s="19">
        <f t="shared" si="44"/>
        <v>886.5</v>
      </c>
      <c r="R168" s="19">
        <f t="shared" si="45"/>
        <v>911.5</v>
      </c>
      <c r="S168" s="19">
        <f t="shared" si="46"/>
        <v>2323.5</v>
      </c>
      <c r="T168" s="19">
        <f t="shared" si="47"/>
        <v>14088.5</v>
      </c>
      <c r="U168" s="22" t="s">
        <v>30</v>
      </c>
    </row>
    <row r="169" spans="1:21" ht="15.75" customHeight="1">
      <c r="A169" s="17">
        <v>154</v>
      </c>
      <c r="B169" s="21" t="s">
        <v>230</v>
      </c>
      <c r="C169" s="21" t="s">
        <v>66</v>
      </c>
      <c r="D169" s="21" t="s">
        <v>61</v>
      </c>
      <c r="E169" s="22" t="s">
        <v>29</v>
      </c>
      <c r="F169" s="19">
        <v>22000</v>
      </c>
      <c r="G169" s="20">
        <v>0</v>
      </c>
      <c r="H169" s="20">
        <v>25</v>
      </c>
      <c r="I169" s="20">
        <v>0</v>
      </c>
      <c r="J169" s="20">
        <v>0</v>
      </c>
      <c r="K169" s="20">
        <f t="shared" si="42"/>
        <v>631.4</v>
      </c>
      <c r="L169" s="20">
        <f t="shared" si="43"/>
        <v>1561.9999999999998</v>
      </c>
      <c r="M169" s="20">
        <v>286</v>
      </c>
      <c r="N169" s="20">
        <v>668.8</v>
      </c>
      <c r="O169" s="20">
        <v>1559.8000000000002</v>
      </c>
      <c r="P169" s="20">
        <v>0</v>
      </c>
      <c r="Q169" s="19">
        <f t="shared" si="44"/>
        <v>1300.1999999999998</v>
      </c>
      <c r="R169" s="19">
        <f t="shared" si="45"/>
        <v>1325.1999999999998</v>
      </c>
      <c r="S169" s="19">
        <f t="shared" si="46"/>
        <v>3407.8</v>
      </c>
      <c r="T169" s="19">
        <f t="shared" si="47"/>
        <v>20674.8</v>
      </c>
      <c r="U169" s="22" t="s">
        <v>30</v>
      </c>
    </row>
    <row r="170" spans="1:21" ht="15.75" customHeight="1">
      <c r="A170" s="21">
        <v>155</v>
      </c>
      <c r="B170" s="21" t="s">
        <v>231</v>
      </c>
      <c r="C170" s="21" t="s">
        <v>68</v>
      </c>
      <c r="D170" s="21" t="s">
        <v>232</v>
      </c>
      <c r="E170" s="22" t="s">
        <v>29</v>
      </c>
      <c r="F170" s="19">
        <v>30000</v>
      </c>
      <c r="G170" s="20">
        <v>0</v>
      </c>
      <c r="H170" s="20">
        <v>25</v>
      </c>
      <c r="I170" s="20">
        <v>0</v>
      </c>
      <c r="J170" s="20">
        <v>0</v>
      </c>
      <c r="K170" s="20">
        <f t="shared" si="42"/>
        <v>861</v>
      </c>
      <c r="L170" s="20">
        <f t="shared" si="43"/>
        <v>2130</v>
      </c>
      <c r="M170" s="20">
        <v>390</v>
      </c>
      <c r="N170" s="20">
        <v>912</v>
      </c>
      <c r="O170" s="20">
        <v>2127</v>
      </c>
      <c r="P170" s="20">
        <v>0</v>
      </c>
      <c r="Q170" s="19">
        <f t="shared" si="44"/>
        <v>1773</v>
      </c>
      <c r="R170" s="19">
        <f t="shared" si="45"/>
        <v>1798</v>
      </c>
      <c r="S170" s="19">
        <f t="shared" si="46"/>
        <v>4647</v>
      </c>
      <c r="T170" s="19">
        <f t="shared" si="47"/>
        <v>28202</v>
      </c>
      <c r="U170" s="22" t="s">
        <v>30</v>
      </c>
    </row>
    <row r="171" spans="1:21" ht="15.75" customHeight="1">
      <c r="A171" s="21">
        <v>156</v>
      </c>
      <c r="B171" s="21" t="s">
        <v>233</v>
      </c>
      <c r="C171" s="21" t="s">
        <v>48</v>
      </c>
      <c r="D171" s="21" t="s">
        <v>55</v>
      </c>
      <c r="E171" s="22" t="s">
        <v>29</v>
      </c>
      <c r="F171" s="19">
        <v>15763</v>
      </c>
      <c r="G171" s="20">
        <v>0</v>
      </c>
      <c r="H171" s="20">
        <v>25</v>
      </c>
      <c r="I171" s="20">
        <v>0</v>
      </c>
      <c r="J171" s="20">
        <v>0</v>
      </c>
      <c r="K171" s="20">
        <f t="shared" si="42"/>
        <v>452.3981</v>
      </c>
      <c r="L171" s="20">
        <f t="shared" si="43"/>
        <v>1119.173</v>
      </c>
      <c r="M171" s="20">
        <v>204.92</v>
      </c>
      <c r="N171" s="20">
        <v>479.1952</v>
      </c>
      <c r="O171" s="20">
        <v>1117.5967000000001</v>
      </c>
      <c r="P171" s="20">
        <v>0</v>
      </c>
      <c r="Q171" s="19">
        <f t="shared" si="44"/>
        <v>931.5933</v>
      </c>
      <c r="R171" s="19">
        <f t="shared" si="45"/>
        <v>956.5933</v>
      </c>
      <c r="S171" s="19">
        <f t="shared" si="46"/>
        <v>2441.6896999999999</v>
      </c>
      <c r="T171" s="19">
        <f t="shared" si="47"/>
        <v>14806.4067</v>
      </c>
      <c r="U171" s="22" t="s">
        <v>36</v>
      </c>
    </row>
    <row r="172" spans="1:21" ht="15.75" customHeight="1">
      <c r="A172" s="17">
        <v>157</v>
      </c>
      <c r="B172" s="21" t="s">
        <v>234</v>
      </c>
      <c r="C172" s="21" t="s">
        <v>235</v>
      </c>
      <c r="D172" s="21" t="s">
        <v>72</v>
      </c>
      <c r="E172" s="22" t="s">
        <v>29</v>
      </c>
      <c r="F172" s="19">
        <v>18000</v>
      </c>
      <c r="G172" s="20">
        <v>0</v>
      </c>
      <c r="H172" s="20">
        <v>25</v>
      </c>
      <c r="I172" s="20">
        <v>0</v>
      </c>
      <c r="J172" s="20">
        <f>2000+300+5554.94+2067.4</f>
        <v>9922.34</v>
      </c>
      <c r="K172" s="20">
        <f t="shared" si="42"/>
        <v>516.6</v>
      </c>
      <c r="L172" s="20">
        <f t="shared" si="43"/>
        <v>1277.9999999999998</v>
      </c>
      <c r="M172" s="20">
        <v>234</v>
      </c>
      <c r="N172" s="20">
        <v>547.20000000000005</v>
      </c>
      <c r="O172" s="20">
        <v>1276.2</v>
      </c>
      <c r="P172" s="20">
        <v>0</v>
      </c>
      <c r="Q172" s="19">
        <f t="shared" si="44"/>
        <v>1063.8000000000002</v>
      </c>
      <c r="R172" s="19">
        <f t="shared" si="45"/>
        <v>11011.140000000001</v>
      </c>
      <c r="S172" s="19">
        <f t="shared" si="46"/>
        <v>2788.2</v>
      </c>
      <c r="T172" s="19">
        <f t="shared" si="47"/>
        <v>6988.8599999999988</v>
      </c>
      <c r="U172" s="22" t="s">
        <v>36</v>
      </c>
    </row>
    <row r="173" spans="1:21" ht="15.75" customHeight="1">
      <c r="A173" s="21">
        <v>158</v>
      </c>
      <c r="B173" s="21" t="s">
        <v>236</v>
      </c>
      <c r="C173" s="21" t="s">
        <v>71</v>
      </c>
      <c r="D173" s="21" t="s">
        <v>72</v>
      </c>
      <c r="E173" s="22" t="s">
        <v>29</v>
      </c>
      <c r="F173" s="19">
        <v>12000</v>
      </c>
      <c r="G173" s="20">
        <v>0</v>
      </c>
      <c r="H173" s="20">
        <v>25</v>
      </c>
      <c r="I173" s="20">
        <v>0</v>
      </c>
      <c r="J173" s="20">
        <v>0</v>
      </c>
      <c r="K173" s="20">
        <f t="shared" si="42"/>
        <v>344.4</v>
      </c>
      <c r="L173" s="20">
        <f t="shared" si="43"/>
        <v>851.99999999999989</v>
      </c>
      <c r="M173" s="20">
        <v>156</v>
      </c>
      <c r="N173" s="20">
        <v>364.8</v>
      </c>
      <c r="O173" s="20">
        <v>850.80000000000007</v>
      </c>
      <c r="P173" s="20">
        <v>0</v>
      </c>
      <c r="Q173" s="19">
        <f t="shared" si="44"/>
        <v>709.2</v>
      </c>
      <c r="R173" s="19">
        <f t="shared" si="45"/>
        <v>734.2</v>
      </c>
      <c r="S173" s="19">
        <f t="shared" si="46"/>
        <v>1858.8</v>
      </c>
      <c r="T173" s="19">
        <f t="shared" si="47"/>
        <v>11265.8</v>
      </c>
      <c r="U173" s="22" t="s">
        <v>36</v>
      </c>
    </row>
    <row r="174" spans="1:21" ht="15.75" customHeight="1">
      <c r="A174" s="21">
        <v>159</v>
      </c>
      <c r="B174" s="21" t="s">
        <v>237</v>
      </c>
      <c r="C174" s="21" t="s">
        <v>68</v>
      </c>
      <c r="D174" s="21" t="s">
        <v>41</v>
      </c>
      <c r="E174" s="22" t="s">
        <v>29</v>
      </c>
      <c r="F174" s="19">
        <v>30000</v>
      </c>
      <c r="G174" s="20">
        <v>0</v>
      </c>
      <c r="H174" s="20">
        <v>25</v>
      </c>
      <c r="I174" s="20">
        <v>0</v>
      </c>
      <c r="J174" s="20">
        <v>0</v>
      </c>
      <c r="K174" s="20">
        <f t="shared" si="42"/>
        <v>861</v>
      </c>
      <c r="L174" s="20">
        <f t="shared" si="43"/>
        <v>2130</v>
      </c>
      <c r="M174" s="20">
        <v>390</v>
      </c>
      <c r="N174" s="20">
        <v>912</v>
      </c>
      <c r="O174" s="20">
        <v>2127</v>
      </c>
      <c r="P174" s="20">
        <v>0</v>
      </c>
      <c r="Q174" s="19">
        <f t="shared" si="44"/>
        <v>1773</v>
      </c>
      <c r="R174" s="19">
        <f t="shared" si="45"/>
        <v>1798</v>
      </c>
      <c r="S174" s="19">
        <f t="shared" si="46"/>
        <v>4647</v>
      </c>
      <c r="T174" s="19">
        <f t="shared" si="47"/>
        <v>28202</v>
      </c>
      <c r="U174" s="22" t="s">
        <v>36</v>
      </c>
    </row>
    <row r="175" spans="1:21" ht="15.75" customHeight="1">
      <c r="A175" s="17">
        <v>160</v>
      </c>
      <c r="B175" s="21" t="s">
        <v>238</v>
      </c>
      <c r="C175" s="21" t="s">
        <v>57</v>
      </c>
      <c r="D175" s="21" t="s">
        <v>58</v>
      </c>
      <c r="E175" s="22" t="s">
        <v>29</v>
      </c>
      <c r="F175" s="19">
        <v>10000</v>
      </c>
      <c r="G175" s="20">
        <v>0</v>
      </c>
      <c r="H175" s="20">
        <v>25</v>
      </c>
      <c r="I175" s="20">
        <v>0</v>
      </c>
      <c r="J175" s="20">
        <v>0</v>
      </c>
      <c r="K175" s="20">
        <f t="shared" si="42"/>
        <v>287</v>
      </c>
      <c r="L175" s="20">
        <f t="shared" si="43"/>
        <v>709.99999999999989</v>
      </c>
      <c r="M175" s="20">
        <v>130</v>
      </c>
      <c r="N175" s="20">
        <v>304</v>
      </c>
      <c r="O175" s="20">
        <v>709</v>
      </c>
      <c r="P175" s="20">
        <v>0</v>
      </c>
      <c r="Q175" s="19">
        <f t="shared" si="44"/>
        <v>591</v>
      </c>
      <c r="R175" s="19">
        <f t="shared" si="45"/>
        <v>616</v>
      </c>
      <c r="S175" s="19">
        <f t="shared" si="46"/>
        <v>1549</v>
      </c>
      <c r="T175" s="19">
        <f t="shared" si="47"/>
        <v>9384</v>
      </c>
      <c r="U175" s="22" t="s">
        <v>36</v>
      </c>
    </row>
    <row r="176" spans="1:21" ht="15.75" customHeight="1">
      <c r="A176" s="21">
        <v>161</v>
      </c>
      <c r="B176" s="21" t="s">
        <v>239</v>
      </c>
      <c r="C176" s="21" t="s">
        <v>77</v>
      </c>
      <c r="D176" s="21" t="s">
        <v>61</v>
      </c>
      <c r="E176" s="22" t="s">
        <v>29</v>
      </c>
      <c r="F176" s="19">
        <v>10000</v>
      </c>
      <c r="G176" s="20">
        <v>0</v>
      </c>
      <c r="H176" s="20">
        <v>25</v>
      </c>
      <c r="I176" s="20">
        <v>0</v>
      </c>
      <c r="J176" s="20">
        <v>0</v>
      </c>
      <c r="K176" s="20">
        <f t="shared" si="42"/>
        <v>287</v>
      </c>
      <c r="L176" s="20">
        <f t="shared" si="43"/>
        <v>709.99999999999989</v>
      </c>
      <c r="M176" s="20">
        <v>130</v>
      </c>
      <c r="N176" s="20">
        <v>304</v>
      </c>
      <c r="O176" s="20">
        <v>709</v>
      </c>
      <c r="P176" s="20">
        <v>0</v>
      </c>
      <c r="Q176" s="19">
        <f t="shared" si="44"/>
        <v>591</v>
      </c>
      <c r="R176" s="19">
        <f t="shared" si="45"/>
        <v>616</v>
      </c>
      <c r="S176" s="19">
        <f t="shared" si="46"/>
        <v>1549</v>
      </c>
      <c r="T176" s="19">
        <f t="shared" si="47"/>
        <v>9384</v>
      </c>
      <c r="U176" s="22" t="s">
        <v>30</v>
      </c>
    </row>
    <row r="177" spans="1:21" ht="15.75" customHeight="1">
      <c r="A177" s="21">
        <v>162</v>
      </c>
      <c r="B177" s="21" t="s">
        <v>240</v>
      </c>
      <c r="C177" s="21" t="s">
        <v>57</v>
      </c>
      <c r="D177" s="21" t="s">
        <v>58</v>
      </c>
      <c r="E177" s="22" t="s">
        <v>29</v>
      </c>
      <c r="F177" s="19">
        <v>10000</v>
      </c>
      <c r="G177" s="20">
        <v>0</v>
      </c>
      <c r="H177" s="20">
        <v>25</v>
      </c>
      <c r="I177" s="20">
        <v>0</v>
      </c>
      <c r="J177" s="20">
        <f>300+300+5844.47</f>
        <v>6444.47</v>
      </c>
      <c r="K177" s="20">
        <f t="shared" si="42"/>
        <v>287</v>
      </c>
      <c r="L177" s="20">
        <f t="shared" si="43"/>
        <v>709.99999999999989</v>
      </c>
      <c r="M177" s="20">
        <v>130</v>
      </c>
      <c r="N177" s="20">
        <v>304</v>
      </c>
      <c r="O177" s="20">
        <v>709</v>
      </c>
      <c r="P177" s="20">
        <v>0</v>
      </c>
      <c r="Q177" s="19">
        <f t="shared" si="44"/>
        <v>591</v>
      </c>
      <c r="R177" s="19">
        <f t="shared" si="45"/>
        <v>7060.47</v>
      </c>
      <c r="S177" s="19">
        <f t="shared" si="46"/>
        <v>1549</v>
      </c>
      <c r="T177" s="19">
        <f t="shared" si="47"/>
        <v>2939.5299999999997</v>
      </c>
      <c r="U177" s="22" t="s">
        <v>30</v>
      </c>
    </row>
    <row r="178" spans="1:21" ht="15.75" customHeight="1">
      <c r="A178" s="17">
        <v>163</v>
      </c>
      <c r="B178" s="21" t="s">
        <v>241</v>
      </c>
      <c r="C178" s="21" t="s">
        <v>96</v>
      </c>
      <c r="D178" s="21" t="s">
        <v>49</v>
      </c>
      <c r="E178" s="22" t="s">
        <v>29</v>
      </c>
      <c r="F178" s="19">
        <v>18000</v>
      </c>
      <c r="G178" s="20">
        <v>0</v>
      </c>
      <c r="H178" s="20">
        <v>25</v>
      </c>
      <c r="I178" s="20">
        <v>0</v>
      </c>
      <c r="J178" s="20">
        <v>0</v>
      </c>
      <c r="K178" s="20">
        <f t="shared" si="42"/>
        <v>516.6</v>
      </c>
      <c r="L178" s="20">
        <f t="shared" si="43"/>
        <v>1277.9999999999998</v>
      </c>
      <c r="M178" s="20">
        <v>234</v>
      </c>
      <c r="N178" s="20">
        <v>547.20000000000005</v>
      </c>
      <c r="O178" s="20">
        <v>1276.2</v>
      </c>
      <c r="P178" s="20">
        <v>0</v>
      </c>
      <c r="Q178" s="19">
        <f t="shared" si="44"/>
        <v>1063.8000000000002</v>
      </c>
      <c r="R178" s="19">
        <f t="shared" si="45"/>
        <v>1088.8000000000002</v>
      </c>
      <c r="S178" s="19">
        <f t="shared" si="46"/>
        <v>2788.2</v>
      </c>
      <c r="T178" s="19">
        <f t="shared" si="47"/>
        <v>16911.2</v>
      </c>
      <c r="U178" s="22" t="s">
        <v>30</v>
      </c>
    </row>
    <row r="179" spans="1:21" ht="15.75" customHeight="1">
      <c r="A179" s="21">
        <v>164</v>
      </c>
      <c r="B179" s="21" t="s">
        <v>242</v>
      </c>
      <c r="C179" s="21" t="s">
        <v>243</v>
      </c>
      <c r="D179" s="21" t="s">
        <v>72</v>
      </c>
      <c r="E179" s="22" t="s">
        <v>29</v>
      </c>
      <c r="F179" s="19">
        <v>25000</v>
      </c>
      <c r="G179" s="20">
        <v>0</v>
      </c>
      <c r="H179" s="20">
        <v>25</v>
      </c>
      <c r="I179" s="20">
        <v>0</v>
      </c>
      <c r="J179" s="20">
        <v>0</v>
      </c>
      <c r="K179" s="20">
        <f t="shared" si="42"/>
        <v>717.5</v>
      </c>
      <c r="L179" s="20">
        <f t="shared" si="43"/>
        <v>1774.9999999999998</v>
      </c>
      <c r="M179" s="20">
        <v>325</v>
      </c>
      <c r="N179" s="20">
        <v>760</v>
      </c>
      <c r="O179" s="20">
        <v>1772.5000000000002</v>
      </c>
      <c r="P179" s="20">
        <v>0</v>
      </c>
      <c r="Q179" s="19">
        <f t="shared" si="44"/>
        <v>1477.5</v>
      </c>
      <c r="R179" s="19">
        <f t="shared" si="45"/>
        <v>1502.5</v>
      </c>
      <c r="S179" s="19">
        <f t="shared" si="46"/>
        <v>3872.5</v>
      </c>
      <c r="T179" s="19">
        <f t="shared" si="47"/>
        <v>23497.5</v>
      </c>
      <c r="U179" s="22" t="s">
        <v>30</v>
      </c>
    </row>
    <row r="180" spans="1:21" ht="15.75" customHeight="1">
      <c r="A180" s="21">
        <v>165</v>
      </c>
      <c r="B180" s="21" t="s">
        <v>244</v>
      </c>
      <c r="C180" s="21" t="s">
        <v>138</v>
      </c>
      <c r="D180" s="21" t="s">
        <v>58</v>
      </c>
      <c r="E180" s="22" t="s">
        <v>29</v>
      </c>
      <c r="F180" s="19">
        <v>15000</v>
      </c>
      <c r="G180" s="20">
        <v>0</v>
      </c>
      <c r="H180" s="20">
        <v>25</v>
      </c>
      <c r="I180" s="20">
        <v>0</v>
      </c>
      <c r="J180" s="20">
        <v>0</v>
      </c>
      <c r="K180" s="20">
        <f t="shared" si="42"/>
        <v>430.5</v>
      </c>
      <c r="L180" s="20">
        <f t="shared" si="43"/>
        <v>1065</v>
      </c>
      <c r="M180" s="20">
        <v>195</v>
      </c>
      <c r="N180" s="20">
        <v>456</v>
      </c>
      <c r="O180" s="20">
        <v>1063.5</v>
      </c>
      <c r="P180" s="20">
        <v>0</v>
      </c>
      <c r="Q180" s="19">
        <f t="shared" si="44"/>
        <v>886.5</v>
      </c>
      <c r="R180" s="19">
        <f t="shared" si="45"/>
        <v>911.5</v>
      </c>
      <c r="S180" s="19">
        <f t="shared" si="46"/>
        <v>2323.5</v>
      </c>
      <c r="T180" s="19">
        <f t="shared" si="47"/>
        <v>14088.5</v>
      </c>
      <c r="U180" s="22" t="s">
        <v>30</v>
      </c>
    </row>
    <row r="181" spans="1:21" ht="15.75" customHeight="1">
      <c r="A181" s="17">
        <v>166</v>
      </c>
      <c r="B181" s="21" t="s">
        <v>245</v>
      </c>
      <c r="C181" s="21" t="s">
        <v>71</v>
      </c>
      <c r="D181" s="21" t="s">
        <v>72</v>
      </c>
      <c r="E181" s="22" t="s">
        <v>29</v>
      </c>
      <c r="F181" s="19">
        <v>10000</v>
      </c>
      <c r="G181" s="20">
        <v>0</v>
      </c>
      <c r="H181" s="20">
        <v>25</v>
      </c>
      <c r="I181" s="20">
        <v>0</v>
      </c>
      <c r="J181" s="20">
        <v>0</v>
      </c>
      <c r="K181" s="20">
        <f t="shared" si="42"/>
        <v>287</v>
      </c>
      <c r="L181" s="20">
        <f t="shared" si="43"/>
        <v>709.99999999999989</v>
      </c>
      <c r="M181" s="20">
        <v>130</v>
      </c>
      <c r="N181" s="20">
        <v>304</v>
      </c>
      <c r="O181" s="20">
        <v>709</v>
      </c>
      <c r="P181" s="20">
        <v>1587.38</v>
      </c>
      <c r="Q181" s="19">
        <f t="shared" si="44"/>
        <v>591</v>
      </c>
      <c r="R181" s="19">
        <f t="shared" si="45"/>
        <v>2203.38</v>
      </c>
      <c r="S181" s="19">
        <f t="shared" si="46"/>
        <v>1549</v>
      </c>
      <c r="T181" s="19">
        <f t="shared" si="47"/>
        <v>7796.62</v>
      </c>
      <c r="U181" s="22" t="s">
        <v>36</v>
      </c>
    </row>
    <row r="182" spans="1:21" ht="15.75" customHeight="1">
      <c r="A182" s="21">
        <v>167</v>
      </c>
      <c r="B182" s="21" t="s">
        <v>246</v>
      </c>
      <c r="C182" s="21" t="s">
        <v>51</v>
      </c>
      <c r="D182" s="21" t="s">
        <v>52</v>
      </c>
      <c r="E182" s="22" t="s">
        <v>29</v>
      </c>
      <c r="F182" s="19">
        <v>20000</v>
      </c>
      <c r="G182" s="20">
        <v>0</v>
      </c>
      <c r="H182" s="20">
        <v>25</v>
      </c>
      <c r="I182" s="20">
        <v>0</v>
      </c>
      <c r="J182" s="20">
        <v>0</v>
      </c>
      <c r="K182" s="20">
        <f t="shared" si="42"/>
        <v>574</v>
      </c>
      <c r="L182" s="20">
        <f t="shared" si="43"/>
        <v>1419.9999999999998</v>
      </c>
      <c r="M182" s="20">
        <v>260</v>
      </c>
      <c r="N182" s="20">
        <v>608</v>
      </c>
      <c r="O182" s="20">
        <v>1418</v>
      </c>
      <c r="P182" s="20">
        <v>0</v>
      </c>
      <c r="Q182" s="19">
        <f t="shared" si="44"/>
        <v>1182</v>
      </c>
      <c r="R182" s="19">
        <f t="shared" si="45"/>
        <v>1207</v>
      </c>
      <c r="S182" s="19">
        <f t="shared" si="46"/>
        <v>3098</v>
      </c>
      <c r="T182" s="19">
        <f t="shared" si="47"/>
        <v>18793</v>
      </c>
      <c r="U182" s="22" t="s">
        <v>30</v>
      </c>
    </row>
    <row r="183" spans="1:21" ht="15.75" customHeight="1">
      <c r="A183" s="21">
        <v>168</v>
      </c>
      <c r="B183" s="21" t="s">
        <v>247</v>
      </c>
      <c r="C183" s="21" t="s">
        <v>57</v>
      </c>
      <c r="D183" s="21" t="s">
        <v>58</v>
      </c>
      <c r="E183" s="22" t="s">
        <v>29</v>
      </c>
      <c r="F183" s="19">
        <v>15000</v>
      </c>
      <c r="G183" s="20">
        <v>0</v>
      </c>
      <c r="H183" s="20">
        <v>25</v>
      </c>
      <c r="I183" s="20">
        <v>0</v>
      </c>
      <c r="J183" s="20">
        <v>0</v>
      </c>
      <c r="K183" s="20">
        <f t="shared" si="42"/>
        <v>430.5</v>
      </c>
      <c r="L183" s="20">
        <f t="shared" si="43"/>
        <v>1065</v>
      </c>
      <c r="M183" s="20">
        <v>195</v>
      </c>
      <c r="N183" s="20">
        <v>456</v>
      </c>
      <c r="O183" s="20">
        <v>1063.5</v>
      </c>
      <c r="P183" s="20">
        <v>0</v>
      </c>
      <c r="Q183" s="19">
        <f t="shared" si="44"/>
        <v>886.5</v>
      </c>
      <c r="R183" s="19">
        <f t="shared" si="45"/>
        <v>911.5</v>
      </c>
      <c r="S183" s="19">
        <f t="shared" si="46"/>
        <v>2323.5</v>
      </c>
      <c r="T183" s="19">
        <f t="shared" si="47"/>
        <v>14088.5</v>
      </c>
      <c r="U183" s="22" t="s">
        <v>36</v>
      </c>
    </row>
    <row r="184" spans="1:21" ht="15.75" customHeight="1">
      <c r="A184" s="17">
        <v>169</v>
      </c>
      <c r="B184" s="21" t="s">
        <v>248</v>
      </c>
      <c r="C184" s="21" t="s">
        <v>63</v>
      </c>
      <c r="D184" s="21" t="s">
        <v>58</v>
      </c>
      <c r="E184" s="22" t="s">
        <v>29</v>
      </c>
      <c r="F184" s="19">
        <v>25000</v>
      </c>
      <c r="G184" s="20">
        <v>0</v>
      </c>
      <c r="H184" s="20">
        <v>25</v>
      </c>
      <c r="I184" s="20">
        <v>0</v>
      </c>
      <c r="J184" s="20">
        <v>0</v>
      </c>
      <c r="K184" s="20">
        <f t="shared" si="42"/>
        <v>717.5</v>
      </c>
      <c r="L184" s="20">
        <f t="shared" si="43"/>
        <v>1774.9999999999998</v>
      </c>
      <c r="M184" s="20">
        <v>325</v>
      </c>
      <c r="N184" s="20">
        <v>760</v>
      </c>
      <c r="O184" s="20">
        <v>1772.5000000000002</v>
      </c>
      <c r="P184" s="20">
        <v>0</v>
      </c>
      <c r="Q184" s="19">
        <f t="shared" si="44"/>
        <v>1477.5</v>
      </c>
      <c r="R184" s="19">
        <f t="shared" si="45"/>
        <v>1502.5</v>
      </c>
      <c r="S184" s="19">
        <f t="shared" si="46"/>
        <v>3872.5</v>
      </c>
      <c r="T184" s="19">
        <f t="shared" si="47"/>
        <v>23497.5</v>
      </c>
      <c r="U184" s="22" t="s">
        <v>30</v>
      </c>
    </row>
    <row r="185" spans="1:21" ht="15.75" customHeight="1">
      <c r="A185" s="21">
        <v>170</v>
      </c>
      <c r="B185" s="21" t="s">
        <v>249</v>
      </c>
      <c r="C185" s="21" t="s">
        <v>77</v>
      </c>
      <c r="D185" s="21" t="s">
        <v>61</v>
      </c>
      <c r="E185" s="22" t="s">
        <v>29</v>
      </c>
      <c r="F185" s="19">
        <v>10000</v>
      </c>
      <c r="G185" s="20">
        <v>0</v>
      </c>
      <c r="H185" s="20">
        <v>25</v>
      </c>
      <c r="I185" s="20">
        <v>0</v>
      </c>
      <c r="J185" s="20">
        <v>0</v>
      </c>
      <c r="K185" s="20">
        <f t="shared" si="42"/>
        <v>287</v>
      </c>
      <c r="L185" s="20">
        <f t="shared" si="43"/>
        <v>709.99999999999989</v>
      </c>
      <c r="M185" s="20">
        <v>130</v>
      </c>
      <c r="N185" s="20">
        <v>304</v>
      </c>
      <c r="O185" s="20">
        <v>709</v>
      </c>
      <c r="P185" s="20">
        <v>0</v>
      </c>
      <c r="Q185" s="19">
        <f t="shared" si="44"/>
        <v>591</v>
      </c>
      <c r="R185" s="19">
        <f t="shared" si="45"/>
        <v>616</v>
      </c>
      <c r="S185" s="19">
        <f t="shared" si="46"/>
        <v>1549</v>
      </c>
      <c r="T185" s="19">
        <f t="shared" si="47"/>
        <v>9384</v>
      </c>
      <c r="U185" s="22" t="s">
        <v>30</v>
      </c>
    </row>
    <row r="186" spans="1:21" ht="15.75" customHeight="1">
      <c r="A186" s="21">
        <v>171</v>
      </c>
      <c r="B186" s="21" t="s">
        <v>250</v>
      </c>
      <c r="C186" s="21" t="s">
        <v>77</v>
      </c>
      <c r="D186" s="21" t="s">
        <v>78</v>
      </c>
      <c r="E186" s="22" t="s">
        <v>29</v>
      </c>
      <c r="F186" s="19">
        <v>10000</v>
      </c>
      <c r="G186" s="20">
        <v>0</v>
      </c>
      <c r="H186" s="20">
        <v>25</v>
      </c>
      <c r="I186" s="20">
        <v>0</v>
      </c>
      <c r="J186" s="20">
        <v>0</v>
      </c>
      <c r="K186" s="20">
        <f t="shared" si="42"/>
        <v>287</v>
      </c>
      <c r="L186" s="20">
        <f t="shared" si="43"/>
        <v>709.99999999999989</v>
      </c>
      <c r="M186" s="20">
        <v>130</v>
      </c>
      <c r="N186" s="20">
        <v>304</v>
      </c>
      <c r="O186" s="20">
        <v>709</v>
      </c>
      <c r="P186" s="20">
        <v>0</v>
      </c>
      <c r="Q186" s="19">
        <f t="shared" si="44"/>
        <v>591</v>
      </c>
      <c r="R186" s="19">
        <f t="shared" si="45"/>
        <v>616</v>
      </c>
      <c r="S186" s="19">
        <f t="shared" si="46"/>
        <v>1549</v>
      </c>
      <c r="T186" s="19">
        <f t="shared" si="47"/>
        <v>9384</v>
      </c>
      <c r="U186" s="22" t="s">
        <v>30</v>
      </c>
    </row>
    <row r="187" spans="1:21" ht="15.75" customHeight="1">
      <c r="A187" s="17">
        <v>172</v>
      </c>
      <c r="B187" s="21" t="s">
        <v>251</v>
      </c>
      <c r="C187" s="21" t="s">
        <v>77</v>
      </c>
      <c r="D187" s="21" t="s">
        <v>78</v>
      </c>
      <c r="E187" s="22" t="s">
        <v>29</v>
      </c>
      <c r="F187" s="19">
        <v>11000</v>
      </c>
      <c r="G187" s="20">
        <v>0</v>
      </c>
      <c r="H187" s="20">
        <v>25</v>
      </c>
      <c r="I187" s="20">
        <v>0</v>
      </c>
      <c r="J187" s="20">
        <v>0</v>
      </c>
      <c r="K187" s="20">
        <f t="shared" si="42"/>
        <v>315.7</v>
      </c>
      <c r="L187" s="20">
        <f t="shared" si="43"/>
        <v>780.99999999999989</v>
      </c>
      <c r="M187" s="20">
        <v>143</v>
      </c>
      <c r="N187" s="20">
        <v>334.4</v>
      </c>
      <c r="O187" s="20">
        <v>779.90000000000009</v>
      </c>
      <c r="P187" s="20">
        <v>0</v>
      </c>
      <c r="Q187" s="19">
        <f t="shared" si="44"/>
        <v>650.09999999999991</v>
      </c>
      <c r="R187" s="19">
        <f t="shared" si="45"/>
        <v>675.09999999999991</v>
      </c>
      <c r="S187" s="19">
        <f t="shared" si="46"/>
        <v>1703.9</v>
      </c>
      <c r="T187" s="19">
        <f t="shared" si="47"/>
        <v>10324.9</v>
      </c>
      <c r="U187" s="22" t="s">
        <v>30</v>
      </c>
    </row>
    <row r="188" spans="1:21" ht="15.75" customHeight="1">
      <c r="A188" s="21">
        <v>173</v>
      </c>
      <c r="B188" s="21" t="s">
        <v>252</v>
      </c>
      <c r="C188" s="21" t="s">
        <v>57</v>
      </c>
      <c r="D188" s="21" t="s">
        <v>58</v>
      </c>
      <c r="E188" s="22" t="s">
        <v>29</v>
      </c>
      <c r="F188" s="19">
        <v>15000</v>
      </c>
      <c r="G188" s="20">
        <v>0</v>
      </c>
      <c r="H188" s="20">
        <v>25</v>
      </c>
      <c r="I188" s="20">
        <v>0</v>
      </c>
      <c r="J188" s="20">
        <v>0</v>
      </c>
      <c r="K188" s="20">
        <f t="shared" si="42"/>
        <v>430.5</v>
      </c>
      <c r="L188" s="20">
        <f t="shared" si="43"/>
        <v>1065</v>
      </c>
      <c r="M188" s="20">
        <v>195</v>
      </c>
      <c r="N188" s="20">
        <v>456</v>
      </c>
      <c r="O188" s="20">
        <v>1063.5</v>
      </c>
      <c r="P188" s="20">
        <v>0</v>
      </c>
      <c r="Q188" s="19">
        <f t="shared" si="44"/>
        <v>886.5</v>
      </c>
      <c r="R188" s="19">
        <f t="shared" si="45"/>
        <v>911.5</v>
      </c>
      <c r="S188" s="19">
        <f t="shared" si="46"/>
        <v>2323.5</v>
      </c>
      <c r="T188" s="19">
        <f t="shared" si="47"/>
        <v>14088.5</v>
      </c>
      <c r="U188" s="22" t="s">
        <v>30</v>
      </c>
    </row>
    <row r="189" spans="1:21" ht="15.75" customHeight="1">
      <c r="A189" s="21">
        <v>174</v>
      </c>
      <c r="B189" s="21" t="s">
        <v>253</v>
      </c>
      <c r="C189" s="21" t="s">
        <v>60</v>
      </c>
      <c r="D189" s="21" t="s">
        <v>58</v>
      </c>
      <c r="E189" s="22" t="s">
        <v>29</v>
      </c>
      <c r="F189" s="19">
        <v>22000</v>
      </c>
      <c r="G189" s="20">
        <v>0</v>
      </c>
      <c r="H189" s="20">
        <v>25</v>
      </c>
      <c r="I189" s="20">
        <v>0</v>
      </c>
      <c r="J189" s="20">
        <v>0</v>
      </c>
      <c r="K189" s="20">
        <f t="shared" si="42"/>
        <v>631.4</v>
      </c>
      <c r="L189" s="20">
        <f t="shared" si="43"/>
        <v>1561.9999999999998</v>
      </c>
      <c r="M189" s="20">
        <v>286</v>
      </c>
      <c r="N189" s="20">
        <v>668.8</v>
      </c>
      <c r="O189" s="20">
        <v>1559.8000000000002</v>
      </c>
      <c r="P189" s="20">
        <v>0</v>
      </c>
      <c r="Q189" s="19">
        <f t="shared" si="44"/>
        <v>1300.1999999999998</v>
      </c>
      <c r="R189" s="19">
        <f t="shared" si="45"/>
        <v>1325.1999999999998</v>
      </c>
      <c r="S189" s="19">
        <f t="shared" si="46"/>
        <v>3407.8</v>
      </c>
      <c r="T189" s="19">
        <f t="shared" si="47"/>
        <v>20674.8</v>
      </c>
      <c r="U189" s="22" t="s">
        <v>36</v>
      </c>
    </row>
    <row r="190" spans="1:21" ht="15.75" customHeight="1">
      <c r="A190" s="17">
        <v>175</v>
      </c>
      <c r="B190" s="21" t="s">
        <v>254</v>
      </c>
      <c r="C190" s="21" t="s">
        <v>255</v>
      </c>
      <c r="D190" s="21" t="s">
        <v>72</v>
      </c>
      <c r="E190" s="22" t="s">
        <v>29</v>
      </c>
      <c r="F190" s="19">
        <v>60000</v>
      </c>
      <c r="G190" s="20">
        <v>3486.68</v>
      </c>
      <c r="H190" s="20">
        <v>25</v>
      </c>
      <c r="I190" s="20">
        <v>0</v>
      </c>
      <c r="J190" s="20">
        <f>500+300+5671.91</f>
        <v>6471.91</v>
      </c>
      <c r="K190" s="20">
        <f t="shared" si="42"/>
        <v>1722</v>
      </c>
      <c r="L190" s="20">
        <f t="shared" si="43"/>
        <v>4260</v>
      </c>
      <c r="M190" s="20">
        <v>780</v>
      </c>
      <c r="N190" s="20">
        <v>1824</v>
      </c>
      <c r="O190" s="20">
        <v>4254</v>
      </c>
      <c r="P190" s="20">
        <v>0</v>
      </c>
      <c r="Q190" s="19">
        <f t="shared" si="44"/>
        <v>3546</v>
      </c>
      <c r="R190" s="19">
        <f t="shared" si="45"/>
        <v>13529.59</v>
      </c>
      <c r="S190" s="19">
        <f t="shared" si="46"/>
        <v>9294</v>
      </c>
      <c r="T190" s="19">
        <f t="shared" si="47"/>
        <v>46470.41</v>
      </c>
      <c r="U190" s="22" t="s">
        <v>36</v>
      </c>
    </row>
    <row r="191" spans="1:21" ht="15.75" customHeight="1">
      <c r="A191" s="21">
        <v>176</v>
      </c>
      <c r="B191" s="21" t="s">
        <v>256</v>
      </c>
      <c r="C191" s="21" t="s">
        <v>68</v>
      </c>
      <c r="D191" s="21" t="s">
        <v>55</v>
      </c>
      <c r="E191" s="22" t="s">
        <v>29</v>
      </c>
      <c r="F191" s="19">
        <v>10000</v>
      </c>
      <c r="G191" s="20">
        <v>0</v>
      </c>
      <c r="H191" s="20">
        <v>25</v>
      </c>
      <c r="I191" s="20">
        <v>0</v>
      </c>
      <c r="J191" s="20">
        <f>300+1000+2425.74</f>
        <v>3725.74</v>
      </c>
      <c r="K191" s="20">
        <f t="shared" si="42"/>
        <v>287</v>
      </c>
      <c r="L191" s="20">
        <f t="shared" si="43"/>
        <v>709.99999999999989</v>
      </c>
      <c r="M191" s="20">
        <v>130</v>
      </c>
      <c r="N191" s="20">
        <v>304</v>
      </c>
      <c r="O191" s="20">
        <v>709</v>
      </c>
      <c r="P191" s="20">
        <v>0</v>
      </c>
      <c r="Q191" s="19">
        <f t="shared" si="44"/>
        <v>591</v>
      </c>
      <c r="R191" s="19">
        <f t="shared" si="45"/>
        <v>4341.74</v>
      </c>
      <c r="S191" s="19">
        <f t="shared" si="46"/>
        <v>1549</v>
      </c>
      <c r="T191" s="19">
        <f t="shared" si="47"/>
        <v>5658.26</v>
      </c>
      <c r="U191" s="22" t="s">
        <v>36</v>
      </c>
    </row>
    <row r="192" spans="1:21" ht="15.75" customHeight="1">
      <c r="A192" s="21">
        <v>177</v>
      </c>
      <c r="B192" s="21" t="s">
        <v>257</v>
      </c>
      <c r="C192" s="21" t="s">
        <v>63</v>
      </c>
      <c r="D192" s="21" t="s">
        <v>98</v>
      </c>
      <c r="E192" s="22" t="s">
        <v>29</v>
      </c>
      <c r="F192" s="19">
        <v>20000</v>
      </c>
      <c r="G192" s="20">
        <v>0</v>
      </c>
      <c r="H192" s="20">
        <v>25</v>
      </c>
      <c r="I192" s="20">
        <v>0</v>
      </c>
      <c r="J192" s="20">
        <v>0</v>
      </c>
      <c r="K192" s="20">
        <f t="shared" si="42"/>
        <v>574</v>
      </c>
      <c r="L192" s="20">
        <f t="shared" si="43"/>
        <v>1419.9999999999998</v>
      </c>
      <c r="M192" s="20">
        <v>260</v>
      </c>
      <c r="N192" s="20">
        <v>608</v>
      </c>
      <c r="O192" s="20">
        <v>1418</v>
      </c>
      <c r="P192" s="20">
        <v>0</v>
      </c>
      <c r="Q192" s="19">
        <f t="shared" si="44"/>
        <v>1182</v>
      </c>
      <c r="R192" s="19">
        <f t="shared" si="45"/>
        <v>1207</v>
      </c>
      <c r="S192" s="19">
        <f t="shared" si="46"/>
        <v>3098</v>
      </c>
      <c r="T192" s="19">
        <f t="shared" si="47"/>
        <v>18793</v>
      </c>
      <c r="U192" s="22" t="s">
        <v>30</v>
      </c>
    </row>
    <row r="193" spans="1:23" ht="15.75" customHeight="1">
      <c r="A193" s="17">
        <v>178</v>
      </c>
      <c r="B193" s="21" t="s">
        <v>258</v>
      </c>
      <c r="C193" s="21" t="s">
        <v>48</v>
      </c>
      <c r="D193" s="21" t="s">
        <v>61</v>
      </c>
      <c r="E193" s="22" t="s">
        <v>29</v>
      </c>
      <c r="F193" s="19">
        <v>24000</v>
      </c>
      <c r="G193" s="20">
        <v>0</v>
      </c>
      <c r="H193" s="20">
        <v>25</v>
      </c>
      <c r="I193" s="20">
        <v>0</v>
      </c>
      <c r="J193" s="20">
        <f>700+300+4612.3</f>
        <v>5612.3</v>
      </c>
      <c r="K193" s="20">
        <f t="shared" si="42"/>
        <v>688.8</v>
      </c>
      <c r="L193" s="20">
        <f t="shared" si="43"/>
        <v>1703.9999999999998</v>
      </c>
      <c r="M193" s="20">
        <v>312</v>
      </c>
      <c r="N193" s="20">
        <v>729.6</v>
      </c>
      <c r="O193" s="20">
        <v>1701.6000000000001</v>
      </c>
      <c r="P193" s="20">
        <v>0</v>
      </c>
      <c r="Q193" s="19">
        <f t="shared" si="44"/>
        <v>1418.4</v>
      </c>
      <c r="R193" s="19">
        <f t="shared" si="45"/>
        <v>7055.7000000000007</v>
      </c>
      <c r="S193" s="19">
        <f t="shared" si="46"/>
        <v>3717.6</v>
      </c>
      <c r="T193" s="19">
        <f t="shared" si="47"/>
        <v>16944.3</v>
      </c>
      <c r="U193" s="22" t="s">
        <v>36</v>
      </c>
    </row>
    <row r="194" spans="1:23" ht="15.75" customHeight="1">
      <c r="A194" s="21">
        <v>179</v>
      </c>
      <c r="B194" s="21" t="s">
        <v>259</v>
      </c>
      <c r="C194" s="21" t="s">
        <v>48</v>
      </c>
      <c r="D194" s="21" t="s">
        <v>78</v>
      </c>
      <c r="E194" s="22" t="s">
        <v>29</v>
      </c>
      <c r="F194" s="19">
        <v>20000</v>
      </c>
      <c r="G194" s="20">
        <v>0</v>
      </c>
      <c r="H194" s="20">
        <v>25</v>
      </c>
      <c r="I194" s="20">
        <v>0</v>
      </c>
      <c r="J194" s="20">
        <v>0</v>
      </c>
      <c r="K194" s="20">
        <f t="shared" si="42"/>
        <v>574</v>
      </c>
      <c r="L194" s="20">
        <f t="shared" si="43"/>
        <v>1419.9999999999998</v>
      </c>
      <c r="M194" s="20">
        <v>260</v>
      </c>
      <c r="N194" s="20">
        <v>608</v>
      </c>
      <c r="O194" s="20">
        <v>1418</v>
      </c>
      <c r="P194" s="20">
        <v>0</v>
      </c>
      <c r="Q194" s="19">
        <f t="shared" si="44"/>
        <v>1182</v>
      </c>
      <c r="R194" s="19">
        <f t="shared" si="45"/>
        <v>1207</v>
      </c>
      <c r="S194" s="19">
        <f t="shared" si="46"/>
        <v>3098</v>
      </c>
      <c r="T194" s="19">
        <f t="shared" si="47"/>
        <v>18793</v>
      </c>
      <c r="U194" s="22" t="s">
        <v>36</v>
      </c>
    </row>
    <row r="195" spans="1:23" ht="15.75" customHeight="1">
      <c r="A195" s="21">
        <v>180</v>
      </c>
      <c r="B195" s="21" t="s">
        <v>260</v>
      </c>
      <c r="C195" s="21" t="s">
        <v>77</v>
      </c>
      <c r="D195" s="21" t="s">
        <v>61</v>
      </c>
      <c r="E195" s="22" t="s">
        <v>29</v>
      </c>
      <c r="F195" s="19">
        <v>15000</v>
      </c>
      <c r="G195" s="20">
        <v>0</v>
      </c>
      <c r="H195" s="20">
        <v>25</v>
      </c>
      <c r="I195" s="20">
        <v>0</v>
      </c>
      <c r="J195" s="20">
        <v>0</v>
      </c>
      <c r="K195" s="20">
        <f t="shared" si="42"/>
        <v>430.5</v>
      </c>
      <c r="L195" s="20">
        <f t="shared" si="43"/>
        <v>1065</v>
      </c>
      <c r="M195" s="20">
        <v>195</v>
      </c>
      <c r="N195" s="20">
        <v>456</v>
      </c>
      <c r="O195" s="20">
        <v>1063.5</v>
      </c>
      <c r="P195" s="20">
        <v>0</v>
      </c>
      <c r="Q195" s="19">
        <f t="shared" si="44"/>
        <v>886.5</v>
      </c>
      <c r="R195" s="19">
        <f t="shared" si="45"/>
        <v>911.5</v>
      </c>
      <c r="S195" s="19">
        <f t="shared" si="46"/>
        <v>2323.5</v>
      </c>
      <c r="T195" s="19">
        <f t="shared" si="47"/>
        <v>14088.5</v>
      </c>
      <c r="U195" s="22" t="s">
        <v>30</v>
      </c>
    </row>
    <row r="196" spans="1:23" ht="15.75" customHeight="1">
      <c r="A196" s="17">
        <v>181</v>
      </c>
      <c r="B196" s="21" t="s">
        <v>261</v>
      </c>
      <c r="C196" s="21" t="s">
        <v>157</v>
      </c>
      <c r="D196" s="21" t="s">
        <v>98</v>
      </c>
      <c r="E196" s="22" t="s">
        <v>29</v>
      </c>
      <c r="F196" s="19">
        <v>14300</v>
      </c>
      <c r="G196" s="20">
        <v>0</v>
      </c>
      <c r="H196" s="20">
        <v>25</v>
      </c>
      <c r="I196" s="20">
        <v>0</v>
      </c>
      <c r="J196" s="20">
        <v>0</v>
      </c>
      <c r="K196" s="20">
        <f t="shared" si="42"/>
        <v>410.41</v>
      </c>
      <c r="L196" s="20">
        <f t="shared" si="43"/>
        <v>1015.3</v>
      </c>
      <c r="M196" s="20">
        <v>185.9</v>
      </c>
      <c r="N196" s="20">
        <v>434.72</v>
      </c>
      <c r="O196" s="20">
        <v>1013.8700000000001</v>
      </c>
      <c r="P196" s="20">
        <v>0</v>
      </c>
      <c r="Q196" s="19">
        <f t="shared" si="44"/>
        <v>845.13000000000011</v>
      </c>
      <c r="R196" s="19">
        <f t="shared" si="45"/>
        <v>870.13000000000011</v>
      </c>
      <c r="S196" s="19">
        <f t="shared" si="46"/>
        <v>2215.0700000000002</v>
      </c>
      <c r="T196" s="19">
        <f t="shared" si="47"/>
        <v>13429.869999999999</v>
      </c>
      <c r="U196" s="22" t="s">
        <v>30</v>
      </c>
    </row>
    <row r="197" spans="1:23" ht="15.75" customHeight="1">
      <c r="A197" s="21">
        <v>182</v>
      </c>
      <c r="B197" s="21" t="s">
        <v>262</v>
      </c>
      <c r="C197" s="21" t="s">
        <v>68</v>
      </c>
      <c r="D197" s="21" t="s">
        <v>69</v>
      </c>
      <c r="E197" s="22" t="s">
        <v>29</v>
      </c>
      <c r="F197" s="19">
        <v>15000</v>
      </c>
      <c r="G197" s="20">
        <v>0</v>
      </c>
      <c r="H197" s="20">
        <v>25</v>
      </c>
      <c r="I197" s="20">
        <v>0</v>
      </c>
      <c r="J197" s="20">
        <f>500+1000+2684.45</f>
        <v>4184.45</v>
      </c>
      <c r="K197" s="20">
        <f t="shared" si="42"/>
        <v>430.5</v>
      </c>
      <c r="L197" s="20">
        <f t="shared" si="43"/>
        <v>1065</v>
      </c>
      <c r="M197" s="20">
        <v>195</v>
      </c>
      <c r="N197" s="20">
        <v>456</v>
      </c>
      <c r="O197" s="20">
        <v>1063.5</v>
      </c>
      <c r="P197" s="20">
        <v>0</v>
      </c>
      <c r="Q197" s="19">
        <f t="shared" si="44"/>
        <v>886.5</v>
      </c>
      <c r="R197" s="19">
        <f t="shared" si="45"/>
        <v>5095.95</v>
      </c>
      <c r="S197" s="19">
        <f t="shared" si="46"/>
        <v>2323.5</v>
      </c>
      <c r="T197" s="19">
        <f t="shared" si="47"/>
        <v>9904.0499999999993</v>
      </c>
      <c r="U197" s="22" t="s">
        <v>30</v>
      </c>
    </row>
    <row r="198" spans="1:23" ht="15.75" customHeight="1">
      <c r="A198" s="21">
        <v>183</v>
      </c>
      <c r="B198" s="21" t="s">
        <v>263</v>
      </c>
      <c r="C198" s="21" t="s">
        <v>264</v>
      </c>
      <c r="D198" s="21" t="s">
        <v>52</v>
      </c>
      <c r="E198" s="22" t="s">
        <v>29</v>
      </c>
      <c r="F198" s="19">
        <v>18000</v>
      </c>
      <c r="G198" s="20">
        <v>0</v>
      </c>
      <c r="H198" s="20">
        <v>25</v>
      </c>
      <c r="I198" s="20">
        <v>0</v>
      </c>
      <c r="J198" s="20">
        <v>0</v>
      </c>
      <c r="K198" s="20">
        <f t="shared" si="42"/>
        <v>516.6</v>
      </c>
      <c r="L198" s="20">
        <f t="shared" si="43"/>
        <v>1277.9999999999998</v>
      </c>
      <c r="M198" s="20">
        <v>234</v>
      </c>
      <c r="N198" s="20">
        <v>547.20000000000005</v>
      </c>
      <c r="O198" s="20">
        <v>1276.2</v>
      </c>
      <c r="P198" s="20">
        <v>0</v>
      </c>
      <c r="Q198" s="19">
        <f t="shared" si="44"/>
        <v>1063.8000000000002</v>
      </c>
      <c r="R198" s="19">
        <f t="shared" si="45"/>
        <v>1088.8000000000002</v>
      </c>
      <c r="S198" s="19">
        <f t="shared" si="46"/>
        <v>2788.2</v>
      </c>
      <c r="T198" s="19">
        <f t="shared" si="47"/>
        <v>16911.2</v>
      </c>
      <c r="U198" s="22" t="s">
        <v>30</v>
      </c>
    </row>
    <row r="199" spans="1:23" ht="15.75" customHeight="1">
      <c r="A199" s="17">
        <v>184</v>
      </c>
      <c r="B199" s="21" t="s">
        <v>265</v>
      </c>
      <c r="C199" s="21" t="s">
        <v>77</v>
      </c>
      <c r="D199" s="21" t="s">
        <v>78</v>
      </c>
      <c r="E199" s="22" t="s">
        <v>29</v>
      </c>
      <c r="F199" s="19">
        <v>10000</v>
      </c>
      <c r="G199" s="20">
        <v>0</v>
      </c>
      <c r="H199" s="20">
        <v>25</v>
      </c>
      <c r="I199" s="20">
        <v>0</v>
      </c>
      <c r="J199" s="20">
        <v>0</v>
      </c>
      <c r="K199" s="20">
        <f t="shared" si="42"/>
        <v>287</v>
      </c>
      <c r="L199" s="20">
        <f t="shared" si="43"/>
        <v>709.99999999999989</v>
      </c>
      <c r="M199" s="20">
        <v>130</v>
      </c>
      <c r="N199" s="20">
        <v>304</v>
      </c>
      <c r="O199" s="20">
        <v>709</v>
      </c>
      <c r="P199" s="20">
        <v>0</v>
      </c>
      <c r="Q199" s="19">
        <f t="shared" si="44"/>
        <v>591</v>
      </c>
      <c r="R199" s="19">
        <f t="shared" si="45"/>
        <v>616</v>
      </c>
      <c r="S199" s="19">
        <f t="shared" si="46"/>
        <v>1549</v>
      </c>
      <c r="T199" s="19">
        <f t="shared" si="47"/>
        <v>9384</v>
      </c>
      <c r="U199" s="22" t="s">
        <v>30</v>
      </c>
    </row>
    <row r="200" spans="1:23" ht="15.75" customHeight="1">
      <c r="A200" s="21">
        <v>185</v>
      </c>
      <c r="B200" s="21" t="s">
        <v>266</v>
      </c>
      <c r="C200" s="21" t="s">
        <v>68</v>
      </c>
      <c r="D200" s="21" t="s">
        <v>69</v>
      </c>
      <c r="E200" s="22" t="s">
        <v>29</v>
      </c>
      <c r="F200" s="19">
        <v>25000</v>
      </c>
      <c r="G200" s="20">
        <v>0</v>
      </c>
      <c r="H200" s="20">
        <v>25</v>
      </c>
      <c r="I200" s="20">
        <v>0</v>
      </c>
      <c r="J200" s="20">
        <v>0</v>
      </c>
      <c r="K200" s="20">
        <f t="shared" si="42"/>
        <v>717.5</v>
      </c>
      <c r="L200" s="20">
        <f t="shared" si="43"/>
        <v>1774.9999999999998</v>
      </c>
      <c r="M200" s="20">
        <v>325</v>
      </c>
      <c r="N200" s="20">
        <v>760</v>
      </c>
      <c r="O200" s="20">
        <v>1772.5000000000002</v>
      </c>
      <c r="P200" s="20">
        <v>0</v>
      </c>
      <c r="Q200" s="19">
        <f t="shared" si="44"/>
        <v>1477.5</v>
      </c>
      <c r="R200" s="19">
        <f t="shared" si="45"/>
        <v>1502.5</v>
      </c>
      <c r="S200" s="19">
        <f t="shared" si="46"/>
        <v>3872.5</v>
      </c>
      <c r="T200" s="19">
        <f t="shared" si="47"/>
        <v>23497.5</v>
      </c>
      <c r="U200" s="22" t="s">
        <v>30</v>
      </c>
    </row>
    <row r="201" spans="1:23" ht="15.75" customHeight="1">
      <c r="A201" s="21">
        <v>186</v>
      </c>
      <c r="B201" s="21" t="s">
        <v>267</v>
      </c>
      <c r="C201" s="21" t="s">
        <v>57</v>
      </c>
      <c r="D201" s="21" t="s">
        <v>58</v>
      </c>
      <c r="E201" s="22" t="s">
        <v>29</v>
      </c>
      <c r="F201" s="19">
        <v>10000</v>
      </c>
      <c r="G201" s="20">
        <v>0</v>
      </c>
      <c r="H201" s="20">
        <v>25</v>
      </c>
      <c r="I201" s="20">
        <v>0</v>
      </c>
      <c r="J201" s="20">
        <f>300+300+1556.18</f>
        <v>2156.1800000000003</v>
      </c>
      <c r="K201" s="20">
        <f t="shared" si="42"/>
        <v>287</v>
      </c>
      <c r="L201" s="20">
        <f t="shared" si="43"/>
        <v>709.99999999999989</v>
      </c>
      <c r="M201" s="20">
        <v>130</v>
      </c>
      <c r="N201" s="20">
        <v>304</v>
      </c>
      <c r="O201" s="20">
        <v>709</v>
      </c>
      <c r="P201" s="20">
        <v>0</v>
      </c>
      <c r="Q201" s="19">
        <f t="shared" si="44"/>
        <v>591</v>
      </c>
      <c r="R201" s="19">
        <f t="shared" si="45"/>
        <v>2772.1800000000003</v>
      </c>
      <c r="S201" s="19">
        <f t="shared" si="46"/>
        <v>1549</v>
      </c>
      <c r="T201" s="19">
        <f t="shared" si="47"/>
        <v>7227.82</v>
      </c>
      <c r="U201" s="22" t="s">
        <v>30</v>
      </c>
      <c r="W201" s="26"/>
    </row>
    <row r="202" spans="1:23" ht="15.75" customHeight="1">
      <c r="A202" s="17">
        <v>187</v>
      </c>
      <c r="B202" s="21" t="s">
        <v>268</v>
      </c>
      <c r="C202" s="21" t="s">
        <v>66</v>
      </c>
      <c r="D202" s="21" t="s">
        <v>58</v>
      </c>
      <c r="E202" s="22" t="s">
        <v>29</v>
      </c>
      <c r="F202" s="19">
        <v>25000</v>
      </c>
      <c r="G202" s="20">
        <v>0</v>
      </c>
      <c r="H202" s="20">
        <v>25</v>
      </c>
      <c r="I202" s="20">
        <v>0</v>
      </c>
      <c r="J202" s="20">
        <v>0</v>
      </c>
      <c r="K202" s="20">
        <f t="shared" si="42"/>
        <v>717.5</v>
      </c>
      <c r="L202" s="20">
        <f t="shared" si="43"/>
        <v>1774.9999999999998</v>
      </c>
      <c r="M202" s="20">
        <v>325</v>
      </c>
      <c r="N202" s="20">
        <v>760</v>
      </c>
      <c r="O202" s="20">
        <v>1772.5000000000002</v>
      </c>
      <c r="P202" s="20">
        <v>0</v>
      </c>
      <c r="Q202" s="19">
        <f t="shared" si="44"/>
        <v>1477.5</v>
      </c>
      <c r="R202" s="19">
        <f t="shared" si="45"/>
        <v>1502.5</v>
      </c>
      <c r="S202" s="19">
        <f t="shared" si="46"/>
        <v>3872.5</v>
      </c>
      <c r="T202" s="19">
        <f t="shared" si="47"/>
        <v>23497.5</v>
      </c>
      <c r="U202" s="22" t="s">
        <v>36</v>
      </c>
    </row>
    <row r="203" spans="1:23" ht="15.75" customHeight="1">
      <c r="A203" s="21">
        <v>188</v>
      </c>
      <c r="B203" s="21" t="s">
        <v>269</v>
      </c>
      <c r="C203" s="21" t="s">
        <v>57</v>
      </c>
      <c r="D203" s="21" t="s">
        <v>61</v>
      </c>
      <c r="E203" s="22" t="s">
        <v>29</v>
      </c>
      <c r="F203" s="19">
        <v>15000</v>
      </c>
      <c r="G203" s="20">
        <v>0</v>
      </c>
      <c r="H203" s="20">
        <v>25</v>
      </c>
      <c r="I203" s="20">
        <v>0</v>
      </c>
      <c r="J203" s="20">
        <f>1000+1468</f>
        <v>2468</v>
      </c>
      <c r="K203" s="20">
        <f t="shared" si="42"/>
        <v>430.5</v>
      </c>
      <c r="L203" s="20">
        <f t="shared" si="43"/>
        <v>1065</v>
      </c>
      <c r="M203" s="20">
        <v>195</v>
      </c>
      <c r="N203" s="20">
        <v>456</v>
      </c>
      <c r="O203" s="20">
        <v>1063.5</v>
      </c>
      <c r="P203" s="20">
        <v>0</v>
      </c>
      <c r="Q203" s="19">
        <f t="shared" si="44"/>
        <v>886.5</v>
      </c>
      <c r="R203" s="19">
        <f t="shared" si="45"/>
        <v>3379.5</v>
      </c>
      <c r="S203" s="19">
        <f t="shared" si="46"/>
        <v>2323.5</v>
      </c>
      <c r="T203" s="19">
        <f t="shared" si="47"/>
        <v>11620.5</v>
      </c>
      <c r="U203" s="22" t="s">
        <v>30</v>
      </c>
    </row>
    <row r="204" spans="1:23" ht="15.75" customHeight="1">
      <c r="A204" s="21">
        <v>189</v>
      </c>
      <c r="B204" s="21" t="s">
        <v>270</v>
      </c>
      <c r="C204" s="21" t="s">
        <v>77</v>
      </c>
      <c r="D204" s="21" t="s">
        <v>78</v>
      </c>
      <c r="E204" s="22" t="s">
        <v>29</v>
      </c>
      <c r="F204" s="19">
        <v>10000</v>
      </c>
      <c r="G204" s="20">
        <v>0</v>
      </c>
      <c r="H204" s="20">
        <v>25</v>
      </c>
      <c r="I204" s="20">
        <v>0</v>
      </c>
      <c r="J204" s="20">
        <v>0</v>
      </c>
      <c r="K204" s="20">
        <f t="shared" si="42"/>
        <v>287</v>
      </c>
      <c r="L204" s="20">
        <f t="shared" si="43"/>
        <v>709.99999999999989</v>
      </c>
      <c r="M204" s="20">
        <v>130</v>
      </c>
      <c r="N204" s="20">
        <v>304</v>
      </c>
      <c r="O204" s="20">
        <v>709</v>
      </c>
      <c r="P204" s="20">
        <v>0</v>
      </c>
      <c r="Q204" s="19">
        <f t="shared" si="44"/>
        <v>591</v>
      </c>
      <c r="R204" s="19">
        <f t="shared" si="45"/>
        <v>616</v>
      </c>
      <c r="S204" s="19">
        <f t="shared" si="46"/>
        <v>1549</v>
      </c>
      <c r="T204" s="19">
        <f t="shared" si="47"/>
        <v>9384</v>
      </c>
      <c r="U204" s="22" t="s">
        <v>30</v>
      </c>
    </row>
    <row r="205" spans="1:23" ht="15.75" customHeight="1">
      <c r="A205" s="17">
        <v>190</v>
      </c>
      <c r="B205" s="21" t="s">
        <v>271</v>
      </c>
      <c r="C205" s="21" t="s">
        <v>63</v>
      </c>
      <c r="D205" s="21" t="s">
        <v>98</v>
      </c>
      <c r="E205" s="22" t="s">
        <v>29</v>
      </c>
      <c r="F205" s="19">
        <v>20000</v>
      </c>
      <c r="G205" s="20">
        <v>0</v>
      </c>
      <c r="H205" s="20">
        <v>25</v>
      </c>
      <c r="I205" s="20">
        <v>0</v>
      </c>
      <c r="J205" s="20">
        <f>700+300+1791.44+1563.02</f>
        <v>4354.46</v>
      </c>
      <c r="K205" s="20">
        <f t="shared" si="42"/>
        <v>574</v>
      </c>
      <c r="L205" s="20">
        <f t="shared" si="43"/>
        <v>1419.9999999999998</v>
      </c>
      <c r="M205" s="20">
        <v>260</v>
      </c>
      <c r="N205" s="20">
        <v>608</v>
      </c>
      <c r="O205" s="20">
        <v>1418</v>
      </c>
      <c r="P205" s="20">
        <v>1587.38</v>
      </c>
      <c r="Q205" s="19">
        <f t="shared" si="44"/>
        <v>1182</v>
      </c>
      <c r="R205" s="19">
        <f t="shared" si="45"/>
        <v>7148.84</v>
      </c>
      <c r="S205" s="19">
        <f t="shared" si="46"/>
        <v>3098</v>
      </c>
      <c r="T205" s="19">
        <f t="shared" si="47"/>
        <v>12851.16</v>
      </c>
      <c r="U205" s="22" t="s">
        <v>30</v>
      </c>
    </row>
    <row r="206" spans="1:23" ht="15.75" customHeight="1">
      <c r="A206" s="21">
        <v>191</v>
      </c>
      <c r="B206" s="21" t="s">
        <v>272</v>
      </c>
      <c r="C206" s="21" t="s">
        <v>51</v>
      </c>
      <c r="D206" s="21" t="s">
        <v>52</v>
      </c>
      <c r="E206" s="22" t="s">
        <v>29</v>
      </c>
      <c r="F206" s="19">
        <v>15000</v>
      </c>
      <c r="G206" s="20">
        <v>0</v>
      </c>
      <c r="H206" s="20">
        <v>25</v>
      </c>
      <c r="I206" s="20">
        <v>0</v>
      </c>
      <c r="J206" s="20">
        <v>0</v>
      </c>
      <c r="K206" s="20">
        <f t="shared" si="42"/>
        <v>430.5</v>
      </c>
      <c r="L206" s="20">
        <f t="shared" si="43"/>
        <v>1065</v>
      </c>
      <c r="M206" s="20">
        <v>195</v>
      </c>
      <c r="N206" s="20">
        <v>456</v>
      </c>
      <c r="O206" s="20">
        <v>1063.5</v>
      </c>
      <c r="P206" s="20">
        <v>0</v>
      </c>
      <c r="Q206" s="19">
        <f t="shared" si="44"/>
        <v>886.5</v>
      </c>
      <c r="R206" s="19">
        <f t="shared" si="45"/>
        <v>911.5</v>
      </c>
      <c r="S206" s="19">
        <f t="shared" si="46"/>
        <v>2323.5</v>
      </c>
      <c r="T206" s="19">
        <f t="shared" si="47"/>
        <v>14088.5</v>
      </c>
      <c r="U206" s="22" t="s">
        <v>30</v>
      </c>
    </row>
    <row r="207" spans="1:23" ht="15.75" customHeight="1">
      <c r="A207" s="21">
        <v>192</v>
      </c>
      <c r="B207" s="21" t="s">
        <v>273</v>
      </c>
      <c r="C207" s="21" t="s">
        <v>60</v>
      </c>
      <c r="D207" s="21" t="s">
        <v>72</v>
      </c>
      <c r="E207" s="22" t="s">
        <v>29</v>
      </c>
      <c r="F207" s="19">
        <v>30000</v>
      </c>
      <c r="G207" s="20">
        <v>0</v>
      </c>
      <c r="H207" s="20">
        <v>25</v>
      </c>
      <c r="I207" s="20">
        <v>0</v>
      </c>
      <c r="J207" s="20">
        <v>0</v>
      </c>
      <c r="K207" s="20">
        <f t="shared" si="42"/>
        <v>861</v>
      </c>
      <c r="L207" s="20">
        <f t="shared" si="43"/>
        <v>2130</v>
      </c>
      <c r="M207" s="20">
        <v>390</v>
      </c>
      <c r="N207" s="20">
        <v>912</v>
      </c>
      <c r="O207" s="20">
        <v>2127</v>
      </c>
      <c r="P207" s="20">
        <v>0</v>
      </c>
      <c r="Q207" s="19">
        <f t="shared" si="44"/>
        <v>1773</v>
      </c>
      <c r="R207" s="19">
        <f t="shared" si="45"/>
        <v>1798</v>
      </c>
      <c r="S207" s="19">
        <f t="shared" si="46"/>
        <v>4647</v>
      </c>
      <c r="T207" s="19">
        <f t="shared" si="47"/>
        <v>28202</v>
      </c>
      <c r="U207" s="22" t="s">
        <v>30</v>
      </c>
    </row>
    <row r="208" spans="1:23" ht="15.75" customHeight="1">
      <c r="A208" s="17">
        <v>193</v>
      </c>
      <c r="B208" s="21" t="s">
        <v>274</v>
      </c>
      <c r="C208" s="21" t="s">
        <v>57</v>
      </c>
      <c r="D208" s="21" t="s">
        <v>58</v>
      </c>
      <c r="E208" s="22" t="s">
        <v>29</v>
      </c>
      <c r="F208" s="19">
        <v>10000</v>
      </c>
      <c r="G208" s="20">
        <v>0</v>
      </c>
      <c r="H208" s="20">
        <v>25</v>
      </c>
      <c r="I208" s="20">
        <v>0</v>
      </c>
      <c r="J208" s="20">
        <v>0</v>
      </c>
      <c r="K208" s="20">
        <f t="shared" ref="K208:K270" si="48">F208*2.87%</f>
        <v>287</v>
      </c>
      <c r="L208" s="20">
        <f t="shared" ref="L208:L270" si="49">F208*7.1%</f>
        <v>709.99999999999989</v>
      </c>
      <c r="M208" s="20">
        <v>130</v>
      </c>
      <c r="N208" s="20">
        <v>304</v>
      </c>
      <c r="O208" s="20">
        <v>709</v>
      </c>
      <c r="P208" s="20">
        <v>0</v>
      </c>
      <c r="Q208" s="19">
        <f t="shared" ref="Q208:Q270" si="50">K208+N208</f>
        <v>591</v>
      </c>
      <c r="R208" s="19">
        <f t="shared" ref="R208:R270" si="51">G208+H208+I208+J208+K208+N208+P208</f>
        <v>616</v>
      </c>
      <c r="S208" s="19">
        <f t="shared" ref="S208:S270" si="52">L208+M208+O208</f>
        <v>1549</v>
      </c>
      <c r="T208" s="19">
        <f t="shared" ref="T208:T270" si="53">F208-R208</f>
        <v>9384</v>
      </c>
      <c r="U208" s="22" t="s">
        <v>30</v>
      </c>
    </row>
    <row r="209" spans="1:21" ht="15.75" customHeight="1">
      <c r="A209" s="21">
        <v>194</v>
      </c>
      <c r="B209" s="21" t="s">
        <v>275</v>
      </c>
      <c r="C209" s="21" t="s">
        <v>77</v>
      </c>
      <c r="D209" s="21" t="s">
        <v>61</v>
      </c>
      <c r="E209" s="22" t="s">
        <v>29</v>
      </c>
      <c r="F209" s="19">
        <v>15000</v>
      </c>
      <c r="G209" s="20">
        <v>0</v>
      </c>
      <c r="H209" s="20">
        <v>25</v>
      </c>
      <c r="I209" s="20">
        <v>0</v>
      </c>
      <c r="J209" s="20">
        <v>0</v>
      </c>
      <c r="K209" s="20">
        <f t="shared" si="48"/>
        <v>430.5</v>
      </c>
      <c r="L209" s="20">
        <f t="shared" si="49"/>
        <v>1065</v>
      </c>
      <c r="M209" s="20">
        <v>195</v>
      </c>
      <c r="N209" s="20">
        <v>456</v>
      </c>
      <c r="O209" s="20">
        <v>1063.5</v>
      </c>
      <c r="P209" s="20">
        <v>0</v>
      </c>
      <c r="Q209" s="19">
        <f t="shared" si="50"/>
        <v>886.5</v>
      </c>
      <c r="R209" s="19">
        <f t="shared" si="51"/>
        <v>911.5</v>
      </c>
      <c r="S209" s="19">
        <f t="shared" si="52"/>
        <v>2323.5</v>
      </c>
      <c r="T209" s="19">
        <f t="shared" si="53"/>
        <v>14088.5</v>
      </c>
      <c r="U209" s="22" t="s">
        <v>30</v>
      </c>
    </row>
    <row r="210" spans="1:21" ht="15.75" customHeight="1">
      <c r="A210" s="21">
        <v>195</v>
      </c>
      <c r="B210" s="21" t="s">
        <v>276</v>
      </c>
      <c r="C210" s="21" t="s">
        <v>66</v>
      </c>
      <c r="D210" s="21" t="s">
        <v>61</v>
      </c>
      <c r="E210" s="22" t="s">
        <v>29</v>
      </c>
      <c r="F210" s="19">
        <v>25000</v>
      </c>
      <c r="G210" s="20">
        <v>0</v>
      </c>
      <c r="H210" s="20">
        <v>25</v>
      </c>
      <c r="I210" s="20">
        <v>0</v>
      </c>
      <c r="J210" s="20">
        <v>0</v>
      </c>
      <c r="K210" s="20">
        <f t="shared" si="48"/>
        <v>717.5</v>
      </c>
      <c r="L210" s="20">
        <f t="shared" si="49"/>
        <v>1774.9999999999998</v>
      </c>
      <c r="M210" s="20">
        <v>325</v>
      </c>
      <c r="N210" s="20">
        <v>760</v>
      </c>
      <c r="O210" s="20">
        <v>1772.5000000000002</v>
      </c>
      <c r="P210" s="20">
        <v>0</v>
      </c>
      <c r="Q210" s="19">
        <f t="shared" si="50"/>
        <v>1477.5</v>
      </c>
      <c r="R210" s="19">
        <f t="shared" si="51"/>
        <v>1502.5</v>
      </c>
      <c r="S210" s="19">
        <f t="shared" si="52"/>
        <v>3872.5</v>
      </c>
      <c r="T210" s="19">
        <f t="shared" si="53"/>
        <v>23497.5</v>
      </c>
      <c r="U210" s="22" t="s">
        <v>30</v>
      </c>
    </row>
    <row r="211" spans="1:21" ht="15.75" customHeight="1">
      <c r="A211" s="17">
        <v>196</v>
      </c>
      <c r="B211" s="21" t="s">
        <v>277</v>
      </c>
      <c r="C211" s="21" t="s">
        <v>77</v>
      </c>
      <c r="D211" s="21" t="s">
        <v>78</v>
      </c>
      <c r="E211" s="22" t="s">
        <v>29</v>
      </c>
      <c r="F211" s="19">
        <v>10000</v>
      </c>
      <c r="G211" s="20">
        <v>0</v>
      </c>
      <c r="H211" s="20">
        <v>25</v>
      </c>
      <c r="I211" s="20">
        <v>0</v>
      </c>
      <c r="J211" s="20">
        <v>0</v>
      </c>
      <c r="K211" s="20">
        <f t="shared" si="48"/>
        <v>287</v>
      </c>
      <c r="L211" s="20">
        <f t="shared" si="49"/>
        <v>709.99999999999989</v>
      </c>
      <c r="M211" s="20">
        <v>130</v>
      </c>
      <c r="N211" s="20">
        <v>304</v>
      </c>
      <c r="O211" s="20">
        <v>709</v>
      </c>
      <c r="P211" s="20">
        <v>0</v>
      </c>
      <c r="Q211" s="19">
        <f t="shared" si="50"/>
        <v>591</v>
      </c>
      <c r="R211" s="19">
        <f t="shared" si="51"/>
        <v>616</v>
      </c>
      <c r="S211" s="19">
        <f t="shared" si="52"/>
        <v>1549</v>
      </c>
      <c r="T211" s="19">
        <f t="shared" si="53"/>
        <v>9384</v>
      </c>
      <c r="U211" s="22" t="s">
        <v>30</v>
      </c>
    </row>
    <row r="212" spans="1:21" ht="15.75" customHeight="1">
      <c r="A212" s="21">
        <v>197</v>
      </c>
      <c r="B212" s="21" t="s">
        <v>278</v>
      </c>
      <c r="C212" s="21" t="s">
        <v>63</v>
      </c>
      <c r="D212" s="21" t="s">
        <v>98</v>
      </c>
      <c r="E212" s="22" t="s">
        <v>29</v>
      </c>
      <c r="F212" s="19">
        <v>31500</v>
      </c>
      <c r="G212" s="20">
        <v>0</v>
      </c>
      <c r="H212" s="20">
        <v>25</v>
      </c>
      <c r="I212" s="20">
        <v>0</v>
      </c>
      <c r="J212" s="20">
        <v>0</v>
      </c>
      <c r="K212" s="20">
        <f t="shared" si="48"/>
        <v>904.05</v>
      </c>
      <c r="L212" s="20">
        <f t="shared" si="49"/>
        <v>2236.5</v>
      </c>
      <c r="M212" s="20">
        <v>409.5</v>
      </c>
      <c r="N212" s="20">
        <v>957.6</v>
      </c>
      <c r="O212" s="20">
        <v>2233.3500000000004</v>
      </c>
      <c r="P212" s="20">
        <v>0</v>
      </c>
      <c r="Q212" s="19">
        <f t="shared" si="50"/>
        <v>1861.65</v>
      </c>
      <c r="R212" s="19">
        <f t="shared" si="51"/>
        <v>1886.65</v>
      </c>
      <c r="S212" s="19">
        <f t="shared" si="52"/>
        <v>4879.3500000000004</v>
      </c>
      <c r="T212" s="19">
        <f t="shared" si="53"/>
        <v>29613.35</v>
      </c>
      <c r="U212" s="22" t="s">
        <v>30</v>
      </c>
    </row>
    <row r="213" spans="1:21" ht="15.75" customHeight="1">
      <c r="A213" s="21">
        <v>198</v>
      </c>
      <c r="B213" s="21" t="s">
        <v>279</v>
      </c>
      <c r="C213" s="21" t="s">
        <v>88</v>
      </c>
      <c r="D213" s="21" t="s">
        <v>58</v>
      </c>
      <c r="E213" s="22" t="s">
        <v>29</v>
      </c>
      <c r="F213" s="19">
        <v>15000</v>
      </c>
      <c r="G213" s="20">
        <v>0</v>
      </c>
      <c r="H213" s="20">
        <v>25</v>
      </c>
      <c r="I213" s="20">
        <v>0</v>
      </c>
      <c r="J213" s="20">
        <v>0</v>
      </c>
      <c r="K213" s="20">
        <f t="shared" si="48"/>
        <v>430.5</v>
      </c>
      <c r="L213" s="20">
        <f t="shared" si="49"/>
        <v>1065</v>
      </c>
      <c r="M213" s="20">
        <v>195</v>
      </c>
      <c r="N213" s="20">
        <v>456</v>
      </c>
      <c r="O213" s="20">
        <v>1063.5</v>
      </c>
      <c r="P213" s="20">
        <v>0</v>
      </c>
      <c r="Q213" s="19">
        <f t="shared" si="50"/>
        <v>886.5</v>
      </c>
      <c r="R213" s="19">
        <f t="shared" si="51"/>
        <v>911.5</v>
      </c>
      <c r="S213" s="19">
        <f t="shared" si="52"/>
        <v>2323.5</v>
      </c>
      <c r="T213" s="19">
        <f t="shared" si="53"/>
        <v>14088.5</v>
      </c>
      <c r="U213" s="22" t="s">
        <v>30</v>
      </c>
    </row>
    <row r="214" spans="1:21" ht="15.75" customHeight="1">
      <c r="A214" s="17">
        <v>199</v>
      </c>
      <c r="B214" s="21" t="s">
        <v>280</v>
      </c>
      <c r="C214" s="21" t="s">
        <v>66</v>
      </c>
      <c r="D214" s="21" t="s">
        <v>61</v>
      </c>
      <c r="E214" s="22" t="s">
        <v>29</v>
      </c>
      <c r="F214" s="19">
        <v>20000</v>
      </c>
      <c r="G214" s="20">
        <v>0</v>
      </c>
      <c r="H214" s="20">
        <v>25</v>
      </c>
      <c r="I214" s="20">
        <v>0</v>
      </c>
      <c r="J214" s="20">
        <f>700+300+4329.82+3785</f>
        <v>9114.82</v>
      </c>
      <c r="K214" s="20">
        <f t="shared" si="48"/>
        <v>574</v>
      </c>
      <c r="L214" s="20">
        <f t="shared" si="49"/>
        <v>1419.9999999999998</v>
      </c>
      <c r="M214" s="20">
        <v>260</v>
      </c>
      <c r="N214" s="20">
        <v>608</v>
      </c>
      <c r="O214" s="20">
        <v>1418</v>
      </c>
      <c r="P214" s="20">
        <v>0</v>
      </c>
      <c r="Q214" s="19">
        <f t="shared" si="50"/>
        <v>1182</v>
      </c>
      <c r="R214" s="19">
        <f t="shared" si="51"/>
        <v>10321.82</v>
      </c>
      <c r="S214" s="19">
        <f t="shared" si="52"/>
        <v>3098</v>
      </c>
      <c r="T214" s="19">
        <f t="shared" si="53"/>
        <v>9678.18</v>
      </c>
      <c r="U214" s="22" t="s">
        <v>30</v>
      </c>
    </row>
    <row r="215" spans="1:21" ht="15.75" customHeight="1">
      <c r="A215" s="21">
        <v>200</v>
      </c>
      <c r="B215" s="21" t="s">
        <v>281</v>
      </c>
      <c r="C215" s="21" t="s">
        <v>88</v>
      </c>
      <c r="D215" s="21" t="s">
        <v>58</v>
      </c>
      <c r="E215" s="22" t="s">
        <v>29</v>
      </c>
      <c r="F215" s="19">
        <v>15000</v>
      </c>
      <c r="G215" s="20">
        <v>0</v>
      </c>
      <c r="H215" s="20">
        <v>25</v>
      </c>
      <c r="I215" s="20">
        <v>0</v>
      </c>
      <c r="J215" s="20">
        <f>700+300+5858.66</f>
        <v>6858.66</v>
      </c>
      <c r="K215" s="20">
        <f t="shared" si="48"/>
        <v>430.5</v>
      </c>
      <c r="L215" s="20">
        <f t="shared" si="49"/>
        <v>1065</v>
      </c>
      <c r="M215" s="20">
        <v>195</v>
      </c>
      <c r="N215" s="20">
        <v>456</v>
      </c>
      <c r="O215" s="20">
        <v>1063.5</v>
      </c>
      <c r="P215" s="20">
        <v>0</v>
      </c>
      <c r="Q215" s="19">
        <f t="shared" si="50"/>
        <v>886.5</v>
      </c>
      <c r="R215" s="19">
        <f t="shared" si="51"/>
        <v>7770.16</v>
      </c>
      <c r="S215" s="19">
        <f t="shared" si="52"/>
        <v>2323.5</v>
      </c>
      <c r="T215" s="19">
        <f t="shared" si="53"/>
        <v>7229.84</v>
      </c>
      <c r="U215" s="22" t="s">
        <v>30</v>
      </c>
    </row>
    <row r="216" spans="1:21" ht="15.75" customHeight="1">
      <c r="A216" s="21">
        <v>201</v>
      </c>
      <c r="B216" s="21" t="s">
        <v>282</v>
      </c>
      <c r="C216" s="21" t="s">
        <v>283</v>
      </c>
      <c r="D216" s="21" t="s">
        <v>58</v>
      </c>
      <c r="E216" s="22" t="s">
        <v>29</v>
      </c>
      <c r="F216" s="19">
        <v>25000</v>
      </c>
      <c r="G216" s="20">
        <v>0</v>
      </c>
      <c r="H216" s="20">
        <v>25</v>
      </c>
      <c r="I216" s="20">
        <v>0</v>
      </c>
      <c r="J216" s="20">
        <v>0</v>
      </c>
      <c r="K216" s="20">
        <f t="shared" si="48"/>
        <v>717.5</v>
      </c>
      <c r="L216" s="20">
        <f t="shared" si="49"/>
        <v>1774.9999999999998</v>
      </c>
      <c r="M216" s="20">
        <v>325</v>
      </c>
      <c r="N216" s="20">
        <v>760</v>
      </c>
      <c r="O216" s="20">
        <v>1772.5000000000002</v>
      </c>
      <c r="P216" s="20">
        <v>0</v>
      </c>
      <c r="Q216" s="19">
        <f t="shared" si="50"/>
        <v>1477.5</v>
      </c>
      <c r="R216" s="19">
        <f t="shared" si="51"/>
        <v>1502.5</v>
      </c>
      <c r="S216" s="19">
        <f t="shared" si="52"/>
        <v>3872.5</v>
      </c>
      <c r="T216" s="19">
        <f t="shared" si="53"/>
        <v>23497.5</v>
      </c>
      <c r="U216" s="22" t="s">
        <v>36</v>
      </c>
    </row>
    <row r="217" spans="1:21" ht="15.6">
      <c r="A217" s="17">
        <v>202</v>
      </c>
      <c r="B217" s="21" t="s">
        <v>284</v>
      </c>
      <c r="C217" s="21" t="s">
        <v>71</v>
      </c>
      <c r="D217" s="21" t="s">
        <v>72</v>
      </c>
      <c r="E217" s="22" t="s">
        <v>29</v>
      </c>
      <c r="F217" s="19">
        <v>15000</v>
      </c>
      <c r="G217" s="20">
        <v>0</v>
      </c>
      <c r="H217" s="20">
        <v>25</v>
      </c>
      <c r="I217" s="20">
        <v>0</v>
      </c>
      <c r="J217" s="20">
        <v>0</v>
      </c>
      <c r="K217" s="20">
        <f t="shared" si="48"/>
        <v>430.5</v>
      </c>
      <c r="L217" s="20">
        <f t="shared" si="49"/>
        <v>1065</v>
      </c>
      <c r="M217" s="20">
        <v>195</v>
      </c>
      <c r="N217" s="20">
        <v>456</v>
      </c>
      <c r="O217" s="20">
        <v>1063.5</v>
      </c>
      <c r="P217" s="20">
        <v>0</v>
      </c>
      <c r="Q217" s="19">
        <f t="shared" si="50"/>
        <v>886.5</v>
      </c>
      <c r="R217" s="19">
        <f t="shared" si="51"/>
        <v>911.5</v>
      </c>
      <c r="S217" s="19">
        <f t="shared" si="52"/>
        <v>2323.5</v>
      </c>
      <c r="T217" s="19">
        <f t="shared" si="53"/>
        <v>14088.5</v>
      </c>
      <c r="U217" s="22" t="s">
        <v>36</v>
      </c>
    </row>
    <row r="218" spans="1:21" ht="15.75" customHeight="1">
      <c r="A218" s="21">
        <v>203</v>
      </c>
      <c r="B218" s="21" t="s">
        <v>285</v>
      </c>
      <c r="C218" s="21" t="s">
        <v>68</v>
      </c>
      <c r="D218" s="21" t="s">
        <v>55</v>
      </c>
      <c r="E218" s="22" t="s">
        <v>29</v>
      </c>
      <c r="F218" s="19">
        <v>26000</v>
      </c>
      <c r="G218" s="20">
        <v>0</v>
      </c>
      <c r="H218" s="20">
        <v>25</v>
      </c>
      <c r="I218" s="20">
        <v>0</v>
      </c>
      <c r="J218" s="20">
        <v>0</v>
      </c>
      <c r="K218" s="20">
        <f t="shared" si="48"/>
        <v>746.2</v>
      </c>
      <c r="L218" s="20">
        <f t="shared" si="49"/>
        <v>1845.9999999999998</v>
      </c>
      <c r="M218" s="20">
        <v>338</v>
      </c>
      <c r="N218" s="20">
        <v>790.4</v>
      </c>
      <c r="O218" s="20">
        <v>1843.4</v>
      </c>
      <c r="P218" s="20">
        <v>0</v>
      </c>
      <c r="Q218" s="19">
        <f t="shared" si="50"/>
        <v>1536.6</v>
      </c>
      <c r="R218" s="19">
        <f t="shared" si="51"/>
        <v>1561.6</v>
      </c>
      <c r="S218" s="19">
        <f t="shared" si="52"/>
        <v>4027.4</v>
      </c>
      <c r="T218" s="19">
        <f t="shared" si="53"/>
        <v>24438.400000000001</v>
      </c>
      <c r="U218" s="22" t="s">
        <v>36</v>
      </c>
    </row>
    <row r="219" spans="1:21" ht="15.75" customHeight="1">
      <c r="A219" s="21">
        <v>204</v>
      </c>
      <c r="B219" s="21" t="s">
        <v>286</v>
      </c>
      <c r="C219" s="21" t="s">
        <v>287</v>
      </c>
      <c r="D219" s="21" t="s">
        <v>86</v>
      </c>
      <c r="E219" s="22" t="s">
        <v>29</v>
      </c>
      <c r="F219" s="19">
        <v>40000</v>
      </c>
      <c r="G219" s="20">
        <v>442.65</v>
      </c>
      <c r="H219" s="20">
        <v>25</v>
      </c>
      <c r="I219" s="20">
        <v>0</v>
      </c>
      <c r="J219" s="20">
        <v>0</v>
      </c>
      <c r="K219" s="20">
        <f t="shared" si="48"/>
        <v>1148</v>
      </c>
      <c r="L219" s="20">
        <f t="shared" si="49"/>
        <v>2839.9999999999995</v>
      </c>
      <c r="M219" s="20">
        <v>520</v>
      </c>
      <c r="N219" s="20">
        <v>1216</v>
      </c>
      <c r="O219" s="20">
        <v>2836</v>
      </c>
      <c r="P219" s="20">
        <v>0</v>
      </c>
      <c r="Q219" s="19">
        <f t="shared" si="50"/>
        <v>2364</v>
      </c>
      <c r="R219" s="19">
        <f t="shared" si="51"/>
        <v>2831.65</v>
      </c>
      <c r="S219" s="19">
        <f t="shared" si="52"/>
        <v>6196</v>
      </c>
      <c r="T219" s="19">
        <f t="shared" si="53"/>
        <v>37168.35</v>
      </c>
      <c r="U219" s="22" t="s">
        <v>36</v>
      </c>
    </row>
    <row r="220" spans="1:21" ht="15.75" customHeight="1">
      <c r="A220" s="17">
        <v>205</v>
      </c>
      <c r="B220" s="21" t="s">
        <v>288</v>
      </c>
      <c r="C220" s="21" t="s">
        <v>71</v>
      </c>
      <c r="D220" s="21" t="s">
        <v>72</v>
      </c>
      <c r="E220" s="22" t="s">
        <v>29</v>
      </c>
      <c r="F220" s="19">
        <v>18000</v>
      </c>
      <c r="G220" s="20">
        <v>0</v>
      </c>
      <c r="H220" s="20">
        <v>25</v>
      </c>
      <c r="I220" s="20">
        <v>0</v>
      </c>
      <c r="J220" s="20">
        <v>0</v>
      </c>
      <c r="K220" s="20">
        <f t="shared" si="48"/>
        <v>516.6</v>
      </c>
      <c r="L220" s="20">
        <f t="shared" si="49"/>
        <v>1277.9999999999998</v>
      </c>
      <c r="M220" s="20">
        <v>234</v>
      </c>
      <c r="N220" s="20">
        <v>547.20000000000005</v>
      </c>
      <c r="O220" s="20">
        <v>1276.2</v>
      </c>
      <c r="P220" s="20">
        <v>0</v>
      </c>
      <c r="Q220" s="19">
        <f t="shared" si="50"/>
        <v>1063.8000000000002</v>
      </c>
      <c r="R220" s="19">
        <f t="shared" si="51"/>
        <v>1088.8000000000002</v>
      </c>
      <c r="S220" s="19">
        <f t="shared" si="52"/>
        <v>2788.2</v>
      </c>
      <c r="T220" s="19">
        <f t="shared" si="53"/>
        <v>16911.2</v>
      </c>
      <c r="U220" s="22" t="s">
        <v>36</v>
      </c>
    </row>
    <row r="221" spans="1:21" ht="15.75" customHeight="1">
      <c r="A221" s="21">
        <v>206</v>
      </c>
      <c r="B221" s="21" t="s">
        <v>289</v>
      </c>
      <c r="C221" s="21" t="s">
        <v>63</v>
      </c>
      <c r="D221" s="21" t="s">
        <v>98</v>
      </c>
      <c r="E221" s="22" t="s">
        <v>29</v>
      </c>
      <c r="F221" s="19">
        <v>20000</v>
      </c>
      <c r="G221" s="20">
        <v>0</v>
      </c>
      <c r="H221" s="20">
        <v>25</v>
      </c>
      <c r="I221" s="20">
        <v>0</v>
      </c>
      <c r="J221" s="20">
        <f>1000+902.96</f>
        <v>1902.96</v>
      </c>
      <c r="K221" s="20">
        <f t="shared" si="48"/>
        <v>574</v>
      </c>
      <c r="L221" s="20">
        <f t="shared" si="49"/>
        <v>1419.9999999999998</v>
      </c>
      <c r="M221" s="20">
        <v>260</v>
      </c>
      <c r="N221" s="20">
        <v>608</v>
      </c>
      <c r="O221" s="20">
        <v>1418</v>
      </c>
      <c r="P221" s="20">
        <v>0</v>
      </c>
      <c r="Q221" s="19">
        <f t="shared" si="50"/>
        <v>1182</v>
      </c>
      <c r="R221" s="19">
        <f t="shared" si="51"/>
        <v>3109.96</v>
      </c>
      <c r="S221" s="19">
        <f t="shared" si="52"/>
        <v>3098</v>
      </c>
      <c r="T221" s="19">
        <f t="shared" si="53"/>
        <v>16890.04</v>
      </c>
      <c r="U221" s="22" t="s">
        <v>30</v>
      </c>
    </row>
    <row r="222" spans="1:21" ht="15.75" customHeight="1">
      <c r="A222" s="21">
        <v>207</v>
      </c>
      <c r="B222" s="21" t="s">
        <v>290</v>
      </c>
      <c r="C222" s="21" t="s">
        <v>66</v>
      </c>
      <c r="D222" s="21" t="s">
        <v>61</v>
      </c>
      <c r="E222" s="22" t="s">
        <v>29</v>
      </c>
      <c r="F222" s="19">
        <v>15000</v>
      </c>
      <c r="G222" s="20">
        <v>0</v>
      </c>
      <c r="H222" s="20">
        <v>25</v>
      </c>
      <c r="I222" s="20">
        <v>0</v>
      </c>
      <c r="J222" s="20">
        <f>700+300.07+2011.84</f>
        <v>3011.91</v>
      </c>
      <c r="K222" s="20">
        <f t="shared" si="48"/>
        <v>430.5</v>
      </c>
      <c r="L222" s="20">
        <f t="shared" si="49"/>
        <v>1065</v>
      </c>
      <c r="M222" s="20">
        <v>195</v>
      </c>
      <c r="N222" s="20">
        <v>456</v>
      </c>
      <c r="O222" s="20">
        <v>1063.5</v>
      </c>
      <c r="P222" s="20">
        <v>0</v>
      </c>
      <c r="Q222" s="19">
        <f t="shared" si="50"/>
        <v>886.5</v>
      </c>
      <c r="R222" s="19">
        <f t="shared" si="51"/>
        <v>3923.41</v>
      </c>
      <c r="S222" s="19">
        <f t="shared" si="52"/>
        <v>2323.5</v>
      </c>
      <c r="T222" s="19">
        <f t="shared" si="53"/>
        <v>11076.59</v>
      </c>
      <c r="U222" s="22" t="s">
        <v>30</v>
      </c>
    </row>
    <row r="223" spans="1:21" ht="15.75" customHeight="1">
      <c r="A223" s="17">
        <v>208</v>
      </c>
      <c r="B223" s="21" t="s">
        <v>291</v>
      </c>
      <c r="C223" s="21" t="s">
        <v>77</v>
      </c>
      <c r="D223" s="21" t="s">
        <v>159</v>
      </c>
      <c r="E223" s="22" t="s">
        <v>29</v>
      </c>
      <c r="F223" s="19">
        <v>12000</v>
      </c>
      <c r="G223" s="20">
        <v>0</v>
      </c>
      <c r="H223" s="20">
        <v>25</v>
      </c>
      <c r="I223" s="20">
        <v>0</v>
      </c>
      <c r="J223" s="20">
        <v>0</v>
      </c>
      <c r="K223" s="20">
        <f t="shared" si="48"/>
        <v>344.4</v>
      </c>
      <c r="L223" s="20">
        <f t="shared" si="49"/>
        <v>851.99999999999989</v>
      </c>
      <c r="M223" s="20">
        <v>156</v>
      </c>
      <c r="N223" s="20">
        <v>364.8</v>
      </c>
      <c r="O223" s="20">
        <v>850.80000000000007</v>
      </c>
      <c r="P223" s="20">
        <v>0</v>
      </c>
      <c r="Q223" s="19">
        <f t="shared" si="50"/>
        <v>709.2</v>
      </c>
      <c r="R223" s="19">
        <f t="shared" si="51"/>
        <v>734.2</v>
      </c>
      <c r="S223" s="19">
        <f t="shared" si="52"/>
        <v>1858.8</v>
      </c>
      <c r="T223" s="19">
        <f t="shared" si="53"/>
        <v>11265.8</v>
      </c>
      <c r="U223" s="22" t="s">
        <v>30</v>
      </c>
    </row>
    <row r="224" spans="1:21" ht="15.75" customHeight="1">
      <c r="A224" s="21">
        <v>209</v>
      </c>
      <c r="B224" s="21" t="s">
        <v>292</v>
      </c>
      <c r="C224" s="21" t="s">
        <v>293</v>
      </c>
      <c r="D224" s="21" t="s">
        <v>208</v>
      </c>
      <c r="E224" s="22" t="s">
        <v>29</v>
      </c>
      <c r="F224" s="19">
        <v>60000</v>
      </c>
      <c r="G224" s="20">
        <v>3486.68</v>
      </c>
      <c r="H224" s="20">
        <v>25</v>
      </c>
      <c r="I224" s="20">
        <v>0</v>
      </c>
      <c r="J224" s="20">
        <v>0</v>
      </c>
      <c r="K224" s="20">
        <f t="shared" si="48"/>
        <v>1722</v>
      </c>
      <c r="L224" s="20">
        <f t="shared" si="49"/>
        <v>4260</v>
      </c>
      <c r="M224" s="20">
        <v>780</v>
      </c>
      <c r="N224" s="20">
        <v>1824</v>
      </c>
      <c r="O224" s="20">
        <v>4254</v>
      </c>
      <c r="P224" s="20">
        <v>0</v>
      </c>
      <c r="Q224" s="19">
        <f t="shared" si="50"/>
        <v>3546</v>
      </c>
      <c r="R224" s="19">
        <f t="shared" si="51"/>
        <v>7057.68</v>
      </c>
      <c r="S224" s="19">
        <f t="shared" si="52"/>
        <v>9294</v>
      </c>
      <c r="T224" s="19">
        <f t="shared" si="53"/>
        <v>52942.32</v>
      </c>
      <c r="U224" s="22" t="s">
        <v>36</v>
      </c>
    </row>
    <row r="225" spans="1:21" ht="15.75" customHeight="1">
      <c r="A225" s="21">
        <v>210</v>
      </c>
      <c r="B225" s="21" t="s">
        <v>294</v>
      </c>
      <c r="C225" s="21" t="s">
        <v>88</v>
      </c>
      <c r="D225" s="21" t="s">
        <v>61</v>
      </c>
      <c r="E225" s="22" t="s">
        <v>29</v>
      </c>
      <c r="F225" s="19">
        <v>15000</v>
      </c>
      <c r="G225" s="20">
        <v>0</v>
      </c>
      <c r="H225" s="20">
        <v>25</v>
      </c>
      <c r="I225" s="20">
        <v>0</v>
      </c>
      <c r="J225" s="20">
        <v>0</v>
      </c>
      <c r="K225" s="20">
        <f t="shared" si="48"/>
        <v>430.5</v>
      </c>
      <c r="L225" s="20">
        <f t="shared" si="49"/>
        <v>1065</v>
      </c>
      <c r="M225" s="20">
        <v>195</v>
      </c>
      <c r="N225" s="20">
        <v>456</v>
      </c>
      <c r="O225" s="20">
        <v>1063.5</v>
      </c>
      <c r="P225" s="20">
        <v>0</v>
      </c>
      <c r="Q225" s="19">
        <f t="shared" si="50"/>
        <v>886.5</v>
      </c>
      <c r="R225" s="19">
        <f t="shared" si="51"/>
        <v>911.5</v>
      </c>
      <c r="S225" s="19">
        <f t="shared" si="52"/>
        <v>2323.5</v>
      </c>
      <c r="T225" s="19">
        <f t="shared" si="53"/>
        <v>14088.5</v>
      </c>
      <c r="U225" s="22" t="s">
        <v>30</v>
      </c>
    </row>
    <row r="226" spans="1:21" ht="15.75" customHeight="1">
      <c r="A226" s="17">
        <v>211</v>
      </c>
      <c r="B226" s="21" t="s">
        <v>295</v>
      </c>
      <c r="C226" s="21" t="s">
        <v>96</v>
      </c>
      <c r="D226" s="21" t="s">
        <v>49</v>
      </c>
      <c r="E226" s="22" t="s">
        <v>29</v>
      </c>
      <c r="F226" s="19">
        <v>25000</v>
      </c>
      <c r="G226" s="20">
        <v>0</v>
      </c>
      <c r="H226" s="20">
        <v>25</v>
      </c>
      <c r="I226" s="20">
        <v>0</v>
      </c>
      <c r="J226" s="20">
        <v>0</v>
      </c>
      <c r="K226" s="20">
        <f t="shared" si="48"/>
        <v>717.5</v>
      </c>
      <c r="L226" s="20">
        <f t="shared" si="49"/>
        <v>1774.9999999999998</v>
      </c>
      <c r="M226" s="20">
        <v>325</v>
      </c>
      <c r="N226" s="20">
        <v>760</v>
      </c>
      <c r="O226" s="20">
        <v>1772.5000000000002</v>
      </c>
      <c r="P226" s="20">
        <v>0</v>
      </c>
      <c r="Q226" s="19">
        <f t="shared" si="50"/>
        <v>1477.5</v>
      </c>
      <c r="R226" s="19">
        <f t="shared" si="51"/>
        <v>1502.5</v>
      </c>
      <c r="S226" s="19">
        <f t="shared" si="52"/>
        <v>3872.5</v>
      </c>
      <c r="T226" s="19">
        <f t="shared" si="53"/>
        <v>23497.5</v>
      </c>
      <c r="U226" s="22" t="s">
        <v>30</v>
      </c>
    </row>
    <row r="227" spans="1:21" ht="15.75" customHeight="1">
      <c r="A227" s="21">
        <v>212</v>
      </c>
      <c r="B227" s="21" t="s">
        <v>296</v>
      </c>
      <c r="C227" s="21" t="s">
        <v>48</v>
      </c>
      <c r="D227" s="21" t="s">
        <v>52</v>
      </c>
      <c r="E227" s="22" t="s">
        <v>29</v>
      </c>
      <c r="F227" s="19">
        <v>25000</v>
      </c>
      <c r="G227" s="20">
        <v>0</v>
      </c>
      <c r="H227" s="20">
        <v>25</v>
      </c>
      <c r="I227" s="20">
        <v>0</v>
      </c>
      <c r="J227" s="20">
        <f>500+500+4039.94+1630</f>
        <v>6669.9400000000005</v>
      </c>
      <c r="K227" s="20">
        <f t="shared" si="48"/>
        <v>717.5</v>
      </c>
      <c r="L227" s="20">
        <f t="shared" si="49"/>
        <v>1774.9999999999998</v>
      </c>
      <c r="M227" s="20">
        <v>325</v>
      </c>
      <c r="N227" s="20">
        <v>760</v>
      </c>
      <c r="O227" s="20">
        <v>1772.5</v>
      </c>
      <c r="P227" s="20">
        <v>0</v>
      </c>
      <c r="Q227" s="19">
        <f t="shared" si="50"/>
        <v>1477.5</v>
      </c>
      <c r="R227" s="19">
        <f t="shared" si="51"/>
        <v>8172.4400000000005</v>
      </c>
      <c r="S227" s="19">
        <f t="shared" si="52"/>
        <v>3872.5</v>
      </c>
      <c r="T227" s="19">
        <f t="shared" si="53"/>
        <v>16827.559999999998</v>
      </c>
      <c r="U227" s="22" t="s">
        <v>36</v>
      </c>
    </row>
    <row r="228" spans="1:21" ht="15.75" customHeight="1">
      <c r="A228" s="21">
        <v>213</v>
      </c>
      <c r="B228" s="21" t="s">
        <v>297</v>
      </c>
      <c r="C228" s="21" t="s">
        <v>48</v>
      </c>
      <c r="D228" s="21" t="s">
        <v>98</v>
      </c>
      <c r="E228" s="22" t="s">
        <v>29</v>
      </c>
      <c r="F228" s="19">
        <v>31000</v>
      </c>
      <c r="G228" s="20">
        <v>0</v>
      </c>
      <c r="H228" s="20">
        <v>25</v>
      </c>
      <c r="I228" s="20">
        <v>0</v>
      </c>
      <c r="J228" s="20">
        <v>0</v>
      </c>
      <c r="K228" s="20">
        <f t="shared" si="48"/>
        <v>889.7</v>
      </c>
      <c r="L228" s="20">
        <f t="shared" si="49"/>
        <v>2201</v>
      </c>
      <c r="M228" s="20">
        <v>403</v>
      </c>
      <c r="N228" s="20">
        <v>942.4</v>
      </c>
      <c r="O228" s="20">
        <v>2197.9</v>
      </c>
      <c r="P228" s="20">
        <v>0</v>
      </c>
      <c r="Q228" s="19">
        <f t="shared" si="50"/>
        <v>1832.1</v>
      </c>
      <c r="R228" s="19">
        <f t="shared" si="51"/>
        <v>1857.1</v>
      </c>
      <c r="S228" s="19">
        <f t="shared" si="52"/>
        <v>4801.8999999999996</v>
      </c>
      <c r="T228" s="19">
        <f t="shared" si="53"/>
        <v>29142.9</v>
      </c>
      <c r="U228" s="22" t="s">
        <v>36</v>
      </c>
    </row>
    <row r="229" spans="1:21" ht="15.75" customHeight="1">
      <c r="A229" s="17">
        <v>214</v>
      </c>
      <c r="B229" s="21" t="s">
        <v>298</v>
      </c>
      <c r="C229" s="21" t="s">
        <v>299</v>
      </c>
      <c r="D229" s="21" t="s">
        <v>69</v>
      </c>
      <c r="E229" s="22" t="s">
        <v>29</v>
      </c>
      <c r="F229" s="19">
        <v>26000</v>
      </c>
      <c r="G229" s="20">
        <v>0</v>
      </c>
      <c r="H229" s="20">
        <v>25</v>
      </c>
      <c r="I229" s="20">
        <v>0</v>
      </c>
      <c r="J229" s="20">
        <v>0</v>
      </c>
      <c r="K229" s="20">
        <f t="shared" si="48"/>
        <v>746.2</v>
      </c>
      <c r="L229" s="20">
        <f t="shared" si="49"/>
        <v>1845.9999999999998</v>
      </c>
      <c r="M229" s="20">
        <v>338</v>
      </c>
      <c r="N229" s="20">
        <v>790.4</v>
      </c>
      <c r="O229" s="20">
        <v>1843.4</v>
      </c>
      <c r="P229" s="20">
        <v>0</v>
      </c>
      <c r="Q229" s="19">
        <f t="shared" si="50"/>
        <v>1536.6</v>
      </c>
      <c r="R229" s="19">
        <f t="shared" si="51"/>
        <v>1561.6</v>
      </c>
      <c r="S229" s="19">
        <f t="shared" si="52"/>
        <v>4027.4</v>
      </c>
      <c r="T229" s="19">
        <f t="shared" si="53"/>
        <v>24438.400000000001</v>
      </c>
      <c r="U229" s="22" t="s">
        <v>36</v>
      </c>
    </row>
    <row r="230" spans="1:21" ht="15.75" customHeight="1">
      <c r="A230" s="21">
        <v>215</v>
      </c>
      <c r="B230" s="21" t="s">
        <v>300</v>
      </c>
      <c r="C230" s="21" t="s">
        <v>77</v>
      </c>
      <c r="D230" s="21" t="s">
        <v>61</v>
      </c>
      <c r="E230" s="22" t="s">
        <v>29</v>
      </c>
      <c r="F230" s="19">
        <v>15000</v>
      </c>
      <c r="G230" s="20">
        <v>0</v>
      </c>
      <c r="H230" s="20">
        <v>25</v>
      </c>
      <c r="I230" s="20">
        <v>0</v>
      </c>
      <c r="J230" s="20">
        <v>0</v>
      </c>
      <c r="K230" s="20">
        <f t="shared" si="48"/>
        <v>430.5</v>
      </c>
      <c r="L230" s="20">
        <f t="shared" si="49"/>
        <v>1065</v>
      </c>
      <c r="M230" s="20">
        <v>195</v>
      </c>
      <c r="N230" s="20">
        <v>456</v>
      </c>
      <c r="O230" s="20">
        <v>1063.5</v>
      </c>
      <c r="P230" s="20">
        <v>0</v>
      </c>
      <c r="Q230" s="19">
        <f t="shared" si="50"/>
        <v>886.5</v>
      </c>
      <c r="R230" s="19">
        <f t="shared" si="51"/>
        <v>911.5</v>
      </c>
      <c r="S230" s="19">
        <f t="shared" si="52"/>
        <v>2323.5</v>
      </c>
      <c r="T230" s="19">
        <f t="shared" si="53"/>
        <v>14088.5</v>
      </c>
      <c r="U230" s="22" t="s">
        <v>30</v>
      </c>
    </row>
    <row r="231" spans="1:21" ht="15.75" customHeight="1">
      <c r="A231" s="21">
        <v>216</v>
      </c>
      <c r="B231" s="21" t="s">
        <v>301</v>
      </c>
      <c r="C231" s="21" t="s">
        <v>96</v>
      </c>
      <c r="D231" s="21" t="s">
        <v>49</v>
      </c>
      <c r="E231" s="22" t="s">
        <v>29</v>
      </c>
      <c r="F231" s="19">
        <v>17000</v>
      </c>
      <c r="G231" s="20">
        <v>0</v>
      </c>
      <c r="H231" s="20">
        <v>25</v>
      </c>
      <c r="I231" s="20">
        <v>0</v>
      </c>
      <c r="J231" s="20">
        <f>1000+1224.51</f>
        <v>2224.5100000000002</v>
      </c>
      <c r="K231" s="20">
        <f t="shared" si="48"/>
        <v>487.9</v>
      </c>
      <c r="L231" s="20">
        <f t="shared" si="49"/>
        <v>1207</v>
      </c>
      <c r="M231" s="20">
        <v>221</v>
      </c>
      <c r="N231" s="20">
        <v>516.79999999999995</v>
      </c>
      <c r="O231" s="20">
        <v>1205.3000000000002</v>
      </c>
      <c r="P231" s="20">
        <v>0</v>
      </c>
      <c r="Q231" s="19">
        <f t="shared" si="50"/>
        <v>1004.6999999999999</v>
      </c>
      <c r="R231" s="19">
        <f t="shared" si="51"/>
        <v>3254.21</v>
      </c>
      <c r="S231" s="19">
        <f t="shared" si="52"/>
        <v>2633.3</v>
      </c>
      <c r="T231" s="19">
        <f t="shared" si="53"/>
        <v>13745.79</v>
      </c>
      <c r="U231" s="22" t="s">
        <v>30</v>
      </c>
    </row>
    <row r="232" spans="1:21" ht="15.75" customHeight="1">
      <c r="A232" s="17">
        <v>217</v>
      </c>
      <c r="B232" s="21" t="s">
        <v>303</v>
      </c>
      <c r="C232" s="21" t="s">
        <v>57</v>
      </c>
      <c r="D232" s="21" t="s">
        <v>58</v>
      </c>
      <c r="E232" s="22" t="s">
        <v>29</v>
      </c>
      <c r="F232" s="19">
        <v>10000</v>
      </c>
      <c r="G232" s="20">
        <v>0</v>
      </c>
      <c r="H232" s="20">
        <v>25</v>
      </c>
      <c r="I232" s="20">
        <v>0</v>
      </c>
      <c r="J232" s="20">
        <v>0</v>
      </c>
      <c r="K232" s="20">
        <f t="shared" si="48"/>
        <v>287</v>
      </c>
      <c r="L232" s="20">
        <f t="shared" si="49"/>
        <v>709.99999999999989</v>
      </c>
      <c r="M232" s="20">
        <v>130</v>
      </c>
      <c r="N232" s="20">
        <v>304</v>
      </c>
      <c r="O232" s="20">
        <v>709</v>
      </c>
      <c r="P232" s="20">
        <v>0</v>
      </c>
      <c r="Q232" s="19">
        <f t="shared" si="50"/>
        <v>591</v>
      </c>
      <c r="R232" s="19">
        <f t="shared" si="51"/>
        <v>616</v>
      </c>
      <c r="S232" s="19">
        <f t="shared" si="52"/>
        <v>1549</v>
      </c>
      <c r="T232" s="19">
        <f t="shared" si="53"/>
        <v>9384</v>
      </c>
      <c r="U232" s="22" t="s">
        <v>36</v>
      </c>
    </row>
    <row r="233" spans="1:21" ht="15.75" customHeight="1">
      <c r="A233" s="21">
        <v>218</v>
      </c>
      <c r="B233" s="21" t="s">
        <v>304</v>
      </c>
      <c r="C233" s="21" t="s">
        <v>66</v>
      </c>
      <c r="D233" s="21" t="s">
        <v>72</v>
      </c>
      <c r="E233" s="22" t="s">
        <v>29</v>
      </c>
      <c r="F233" s="19">
        <v>20000</v>
      </c>
      <c r="G233" s="20">
        <v>0</v>
      </c>
      <c r="H233" s="20">
        <v>25</v>
      </c>
      <c r="I233" s="20">
        <v>0</v>
      </c>
      <c r="J233" s="20">
        <v>0</v>
      </c>
      <c r="K233" s="20">
        <f t="shared" si="48"/>
        <v>574</v>
      </c>
      <c r="L233" s="20">
        <f t="shared" si="49"/>
        <v>1419.9999999999998</v>
      </c>
      <c r="M233" s="20">
        <v>260</v>
      </c>
      <c r="N233" s="20">
        <v>608</v>
      </c>
      <c r="O233" s="20">
        <v>1418</v>
      </c>
      <c r="P233" s="20">
        <v>0</v>
      </c>
      <c r="Q233" s="19">
        <f t="shared" si="50"/>
        <v>1182</v>
      </c>
      <c r="R233" s="19">
        <f t="shared" si="51"/>
        <v>1207</v>
      </c>
      <c r="S233" s="19">
        <f t="shared" si="52"/>
        <v>3098</v>
      </c>
      <c r="T233" s="19">
        <f t="shared" si="53"/>
        <v>18793</v>
      </c>
      <c r="U233" s="22" t="s">
        <v>30</v>
      </c>
    </row>
    <row r="234" spans="1:21" ht="15.75" customHeight="1">
      <c r="A234" s="21">
        <v>219</v>
      </c>
      <c r="B234" s="21" t="s">
        <v>305</v>
      </c>
      <c r="C234" s="21" t="s">
        <v>68</v>
      </c>
      <c r="D234" s="21" t="s">
        <v>86</v>
      </c>
      <c r="E234" s="22" t="s">
        <v>29</v>
      </c>
      <c r="F234" s="19">
        <v>25000</v>
      </c>
      <c r="G234" s="20">
        <v>0</v>
      </c>
      <c r="H234" s="20">
        <v>25</v>
      </c>
      <c r="I234" s="20">
        <v>0</v>
      </c>
      <c r="J234" s="20">
        <v>0</v>
      </c>
      <c r="K234" s="20">
        <f t="shared" si="48"/>
        <v>717.5</v>
      </c>
      <c r="L234" s="20">
        <f t="shared" si="49"/>
        <v>1774.9999999999998</v>
      </c>
      <c r="M234" s="20">
        <v>325</v>
      </c>
      <c r="N234" s="20">
        <v>760</v>
      </c>
      <c r="O234" s="20">
        <v>1772.5000000000002</v>
      </c>
      <c r="P234" s="20">
        <v>1587.38</v>
      </c>
      <c r="Q234" s="19">
        <f t="shared" si="50"/>
        <v>1477.5</v>
      </c>
      <c r="R234" s="19">
        <f t="shared" si="51"/>
        <v>3089.88</v>
      </c>
      <c r="S234" s="19">
        <f t="shared" si="52"/>
        <v>3872.5</v>
      </c>
      <c r="T234" s="19">
        <f t="shared" si="53"/>
        <v>21910.12</v>
      </c>
      <c r="U234" s="22" t="s">
        <v>30</v>
      </c>
    </row>
    <row r="235" spans="1:21" ht="15.75" customHeight="1">
      <c r="A235" s="17">
        <v>220</v>
      </c>
      <c r="B235" s="21" t="s">
        <v>306</v>
      </c>
      <c r="C235" s="21" t="s">
        <v>68</v>
      </c>
      <c r="D235" s="21" t="s">
        <v>69</v>
      </c>
      <c r="E235" s="22" t="s">
        <v>29</v>
      </c>
      <c r="F235" s="19">
        <v>35000</v>
      </c>
      <c r="G235" s="20">
        <v>0</v>
      </c>
      <c r="H235" s="20">
        <v>25</v>
      </c>
      <c r="I235" s="20">
        <v>0</v>
      </c>
      <c r="J235" s="20">
        <f>700+300</f>
        <v>1000</v>
      </c>
      <c r="K235" s="20">
        <f t="shared" si="48"/>
        <v>1004.5</v>
      </c>
      <c r="L235" s="20">
        <f t="shared" si="49"/>
        <v>2485</v>
      </c>
      <c r="M235" s="20">
        <v>455</v>
      </c>
      <c r="N235" s="20">
        <v>1064</v>
      </c>
      <c r="O235" s="20">
        <v>2481.5</v>
      </c>
      <c r="P235" s="20">
        <v>0</v>
      </c>
      <c r="Q235" s="19">
        <f t="shared" si="50"/>
        <v>2068.5</v>
      </c>
      <c r="R235" s="19">
        <f t="shared" si="51"/>
        <v>3093.5</v>
      </c>
      <c r="S235" s="19">
        <f t="shared" si="52"/>
        <v>5421.5</v>
      </c>
      <c r="T235" s="19">
        <f t="shared" si="53"/>
        <v>31906.5</v>
      </c>
      <c r="U235" s="22" t="s">
        <v>36</v>
      </c>
    </row>
    <row r="236" spans="1:21" ht="15.75" customHeight="1">
      <c r="A236" s="21">
        <v>221</v>
      </c>
      <c r="B236" s="21" t="s">
        <v>307</v>
      </c>
      <c r="C236" s="21" t="s">
        <v>77</v>
      </c>
      <c r="D236" s="21" t="s">
        <v>61</v>
      </c>
      <c r="E236" s="22" t="s">
        <v>29</v>
      </c>
      <c r="F236" s="19">
        <v>15000</v>
      </c>
      <c r="G236" s="20">
        <v>0</v>
      </c>
      <c r="H236" s="20">
        <v>25</v>
      </c>
      <c r="I236" s="20">
        <v>0</v>
      </c>
      <c r="J236" s="20">
        <f>500+300+2238.83</f>
        <v>3038.83</v>
      </c>
      <c r="K236" s="20">
        <f t="shared" si="48"/>
        <v>430.5</v>
      </c>
      <c r="L236" s="20">
        <f t="shared" si="49"/>
        <v>1065</v>
      </c>
      <c r="M236" s="20">
        <v>195</v>
      </c>
      <c r="N236" s="20">
        <v>456</v>
      </c>
      <c r="O236" s="20">
        <v>1063.5</v>
      </c>
      <c r="P236" s="20">
        <v>0</v>
      </c>
      <c r="Q236" s="19">
        <f t="shared" si="50"/>
        <v>886.5</v>
      </c>
      <c r="R236" s="19">
        <f t="shared" si="51"/>
        <v>3950.33</v>
      </c>
      <c r="S236" s="19">
        <f t="shared" si="52"/>
        <v>2323.5</v>
      </c>
      <c r="T236" s="19">
        <f t="shared" si="53"/>
        <v>11049.67</v>
      </c>
      <c r="U236" s="22" t="s">
        <v>30</v>
      </c>
    </row>
    <row r="237" spans="1:21" ht="15.75" customHeight="1">
      <c r="A237" s="21">
        <v>222</v>
      </c>
      <c r="B237" s="21" t="s">
        <v>308</v>
      </c>
      <c r="C237" s="21" t="s">
        <v>51</v>
      </c>
      <c r="D237" s="21" t="s">
        <v>52</v>
      </c>
      <c r="E237" s="22" t="s">
        <v>29</v>
      </c>
      <c r="F237" s="19">
        <v>10000</v>
      </c>
      <c r="G237" s="20">
        <v>0</v>
      </c>
      <c r="H237" s="20">
        <v>25</v>
      </c>
      <c r="I237" s="20">
        <v>0</v>
      </c>
      <c r="J237" s="20">
        <v>0</v>
      </c>
      <c r="K237" s="20">
        <f t="shared" si="48"/>
        <v>287</v>
      </c>
      <c r="L237" s="20">
        <f t="shared" si="49"/>
        <v>709.99999999999989</v>
      </c>
      <c r="M237" s="20">
        <v>130</v>
      </c>
      <c r="N237" s="20">
        <v>304</v>
      </c>
      <c r="O237" s="20">
        <v>709</v>
      </c>
      <c r="P237" s="20">
        <v>0</v>
      </c>
      <c r="Q237" s="19">
        <f t="shared" si="50"/>
        <v>591</v>
      </c>
      <c r="R237" s="19">
        <f t="shared" si="51"/>
        <v>616</v>
      </c>
      <c r="S237" s="19">
        <f t="shared" si="52"/>
        <v>1549</v>
      </c>
      <c r="T237" s="19">
        <f t="shared" si="53"/>
        <v>9384</v>
      </c>
      <c r="U237" s="22" t="s">
        <v>30</v>
      </c>
    </row>
    <row r="238" spans="1:21" ht="15.75" customHeight="1">
      <c r="A238" s="17">
        <v>223</v>
      </c>
      <c r="B238" s="21" t="s">
        <v>309</v>
      </c>
      <c r="C238" s="21" t="s">
        <v>77</v>
      </c>
      <c r="D238" s="21" t="s">
        <v>61</v>
      </c>
      <c r="E238" s="22" t="s">
        <v>29</v>
      </c>
      <c r="F238" s="19">
        <v>10000</v>
      </c>
      <c r="G238" s="20">
        <v>0</v>
      </c>
      <c r="H238" s="20">
        <v>25</v>
      </c>
      <c r="I238" s="20">
        <v>0</v>
      </c>
      <c r="J238" s="20">
        <f>700+300+3237.23+1263.5</f>
        <v>5500.73</v>
      </c>
      <c r="K238" s="20">
        <f t="shared" si="48"/>
        <v>287</v>
      </c>
      <c r="L238" s="20">
        <f t="shared" si="49"/>
        <v>709.99999999999989</v>
      </c>
      <c r="M238" s="20">
        <v>130</v>
      </c>
      <c r="N238" s="20">
        <v>304</v>
      </c>
      <c r="O238" s="20">
        <v>709</v>
      </c>
      <c r="P238" s="20">
        <v>0</v>
      </c>
      <c r="Q238" s="19">
        <f t="shared" si="50"/>
        <v>591</v>
      </c>
      <c r="R238" s="19">
        <f t="shared" si="51"/>
        <v>6116.73</v>
      </c>
      <c r="S238" s="19">
        <f t="shared" si="52"/>
        <v>1549</v>
      </c>
      <c r="T238" s="19">
        <f t="shared" si="53"/>
        <v>3883.2700000000004</v>
      </c>
      <c r="U238" s="22" t="s">
        <v>30</v>
      </c>
    </row>
    <row r="239" spans="1:21" ht="15.75" customHeight="1">
      <c r="A239" s="21">
        <v>224</v>
      </c>
      <c r="B239" s="21" t="s">
        <v>310</v>
      </c>
      <c r="C239" s="21" t="s">
        <v>51</v>
      </c>
      <c r="D239" s="21" t="s">
        <v>52</v>
      </c>
      <c r="E239" s="22" t="s">
        <v>29</v>
      </c>
      <c r="F239" s="19">
        <v>20000</v>
      </c>
      <c r="G239" s="20">
        <v>0</v>
      </c>
      <c r="H239" s="20">
        <v>25</v>
      </c>
      <c r="I239" s="20">
        <v>0</v>
      </c>
      <c r="J239" s="20">
        <f>1000+1000+7843.39</f>
        <v>9843.39</v>
      </c>
      <c r="K239" s="20">
        <f t="shared" si="48"/>
        <v>574</v>
      </c>
      <c r="L239" s="20">
        <f t="shared" si="49"/>
        <v>1419.9999999999998</v>
      </c>
      <c r="M239" s="20">
        <v>260</v>
      </c>
      <c r="N239" s="20">
        <v>608</v>
      </c>
      <c r="O239" s="20">
        <v>1418</v>
      </c>
      <c r="P239" s="20">
        <v>0</v>
      </c>
      <c r="Q239" s="19">
        <f t="shared" si="50"/>
        <v>1182</v>
      </c>
      <c r="R239" s="19">
        <f t="shared" si="51"/>
        <v>11050.39</v>
      </c>
      <c r="S239" s="19">
        <f t="shared" si="52"/>
        <v>3098</v>
      </c>
      <c r="T239" s="19">
        <f t="shared" si="53"/>
        <v>8949.61</v>
      </c>
      <c r="U239" s="22" t="s">
        <v>30</v>
      </c>
    </row>
    <row r="240" spans="1:21" ht="15.75" customHeight="1">
      <c r="A240" s="21">
        <v>225</v>
      </c>
      <c r="B240" s="21" t="s">
        <v>311</v>
      </c>
      <c r="C240" s="21" t="s">
        <v>77</v>
      </c>
      <c r="D240" s="21" t="s">
        <v>61</v>
      </c>
      <c r="E240" s="22" t="s">
        <v>29</v>
      </c>
      <c r="F240" s="19">
        <v>15000</v>
      </c>
      <c r="G240" s="20">
        <v>0</v>
      </c>
      <c r="H240" s="20">
        <v>25</v>
      </c>
      <c r="I240" s="20">
        <v>0</v>
      </c>
      <c r="J240" s="20">
        <v>0</v>
      </c>
      <c r="K240" s="20">
        <f t="shared" si="48"/>
        <v>430.5</v>
      </c>
      <c r="L240" s="20">
        <f t="shared" si="49"/>
        <v>1065</v>
      </c>
      <c r="M240" s="20">
        <v>195</v>
      </c>
      <c r="N240" s="20">
        <v>456</v>
      </c>
      <c r="O240" s="20">
        <v>1063.5</v>
      </c>
      <c r="P240" s="20">
        <v>0</v>
      </c>
      <c r="Q240" s="19">
        <f t="shared" si="50"/>
        <v>886.5</v>
      </c>
      <c r="R240" s="19">
        <f t="shared" si="51"/>
        <v>911.5</v>
      </c>
      <c r="S240" s="19">
        <f t="shared" si="52"/>
        <v>2323.5</v>
      </c>
      <c r="T240" s="19">
        <f t="shared" si="53"/>
        <v>14088.5</v>
      </c>
      <c r="U240" s="22" t="s">
        <v>30</v>
      </c>
    </row>
    <row r="241" spans="1:21" ht="15.75" customHeight="1">
      <c r="A241" s="17">
        <v>226</v>
      </c>
      <c r="B241" s="21" t="s">
        <v>312</v>
      </c>
      <c r="C241" s="21" t="s">
        <v>66</v>
      </c>
      <c r="D241" s="21" t="s">
        <v>58</v>
      </c>
      <c r="E241" s="22" t="s">
        <v>29</v>
      </c>
      <c r="F241" s="19">
        <v>20000</v>
      </c>
      <c r="G241" s="20">
        <v>0</v>
      </c>
      <c r="H241" s="20">
        <v>25</v>
      </c>
      <c r="I241" s="20">
        <v>0</v>
      </c>
      <c r="J241" s="20">
        <v>0</v>
      </c>
      <c r="K241" s="20">
        <f t="shared" si="48"/>
        <v>574</v>
      </c>
      <c r="L241" s="20">
        <f t="shared" si="49"/>
        <v>1419.9999999999998</v>
      </c>
      <c r="M241" s="20">
        <v>260</v>
      </c>
      <c r="N241" s="20">
        <v>608</v>
      </c>
      <c r="O241" s="20">
        <v>1418</v>
      </c>
      <c r="P241" s="20">
        <v>0</v>
      </c>
      <c r="Q241" s="19">
        <f t="shared" si="50"/>
        <v>1182</v>
      </c>
      <c r="R241" s="19">
        <f t="shared" si="51"/>
        <v>1207</v>
      </c>
      <c r="S241" s="19">
        <f t="shared" si="52"/>
        <v>3098</v>
      </c>
      <c r="T241" s="19">
        <f t="shared" si="53"/>
        <v>18793</v>
      </c>
      <c r="U241" s="22" t="s">
        <v>30</v>
      </c>
    </row>
    <row r="242" spans="1:21" ht="15.75" customHeight="1">
      <c r="A242" s="21">
        <v>227</v>
      </c>
      <c r="B242" s="21" t="s">
        <v>313</v>
      </c>
      <c r="C242" s="21" t="s">
        <v>283</v>
      </c>
      <c r="D242" s="21" t="s">
        <v>28</v>
      </c>
      <c r="E242" s="22" t="s">
        <v>302</v>
      </c>
      <c r="F242" s="19">
        <v>30000</v>
      </c>
      <c r="G242" s="20">
        <v>0</v>
      </c>
      <c r="H242" s="20">
        <v>25</v>
      </c>
      <c r="I242" s="20">
        <v>0</v>
      </c>
      <c r="J242" s="20">
        <v>0</v>
      </c>
      <c r="K242" s="20">
        <f t="shared" si="48"/>
        <v>861</v>
      </c>
      <c r="L242" s="20">
        <f t="shared" si="49"/>
        <v>2130</v>
      </c>
      <c r="M242" s="20">
        <v>390</v>
      </c>
      <c r="N242" s="20">
        <v>912</v>
      </c>
      <c r="O242" s="20">
        <v>2127</v>
      </c>
      <c r="P242" s="20">
        <v>0</v>
      </c>
      <c r="Q242" s="19">
        <f t="shared" si="50"/>
        <v>1773</v>
      </c>
      <c r="R242" s="19">
        <f t="shared" si="51"/>
        <v>1798</v>
      </c>
      <c r="S242" s="19">
        <f t="shared" si="52"/>
        <v>4647</v>
      </c>
      <c r="T242" s="19">
        <f t="shared" si="53"/>
        <v>28202</v>
      </c>
      <c r="U242" s="22" t="s">
        <v>30</v>
      </c>
    </row>
    <row r="243" spans="1:21" ht="15.75" customHeight="1">
      <c r="A243" s="21">
        <v>228</v>
      </c>
      <c r="B243" s="21" t="s">
        <v>314</v>
      </c>
      <c r="C243" s="21" t="s">
        <v>77</v>
      </c>
      <c r="D243" s="21" t="s">
        <v>78</v>
      </c>
      <c r="E243" s="22" t="s">
        <v>29</v>
      </c>
      <c r="F243" s="19">
        <v>10000</v>
      </c>
      <c r="G243" s="20">
        <v>0</v>
      </c>
      <c r="H243" s="20">
        <v>25</v>
      </c>
      <c r="I243" s="20">
        <v>0</v>
      </c>
      <c r="J243" s="20">
        <v>0</v>
      </c>
      <c r="K243" s="20">
        <f t="shared" si="48"/>
        <v>287</v>
      </c>
      <c r="L243" s="20">
        <f t="shared" si="49"/>
        <v>709.99999999999989</v>
      </c>
      <c r="M243" s="20">
        <v>130</v>
      </c>
      <c r="N243" s="20">
        <v>304</v>
      </c>
      <c r="O243" s="20">
        <v>709</v>
      </c>
      <c r="P243" s="20">
        <v>0</v>
      </c>
      <c r="Q243" s="19">
        <f t="shared" si="50"/>
        <v>591</v>
      </c>
      <c r="R243" s="19">
        <f t="shared" si="51"/>
        <v>616</v>
      </c>
      <c r="S243" s="19">
        <f t="shared" si="52"/>
        <v>1549</v>
      </c>
      <c r="T243" s="19">
        <f t="shared" si="53"/>
        <v>9384</v>
      </c>
      <c r="U243" s="22" t="s">
        <v>30</v>
      </c>
    </row>
    <row r="244" spans="1:21" ht="15.75" customHeight="1">
      <c r="A244" s="17">
        <v>229</v>
      </c>
      <c r="B244" s="21" t="s">
        <v>315</v>
      </c>
      <c r="C244" s="21" t="s">
        <v>77</v>
      </c>
      <c r="D244" s="21" t="s">
        <v>61</v>
      </c>
      <c r="E244" s="22" t="s">
        <v>29</v>
      </c>
      <c r="F244" s="19">
        <v>10000</v>
      </c>
      <c r="G244" s="20">
        <v>0</v>
      </c>
      <c r="H244" s="20">
        <v>25</v>
      </c>
      <c r="I244" s="20">
        <v>0</v>
      </c>
      <c r="J244" s="20">
        <v>0</v>
      </c>
      <c r="K244" s="20">
        <f t="shared" si="48"/>
        <v>287</v>
      </c>
      <c r="L244" s="20">
        <f t="shared" si="49"/>
        <v>709.99999999999989</v>
      </c>
      <c r="M244" s="20">
        <v>130</v>
      </c>
      <c r="N244" s="20">
        <v>304</v>
      </c>
      <c r="O244" s="20">
        <v>709</v>
      </c>
      <c r="P244" s="20">
        <v>0</v>
      </c>
      <c r="Q244" s="19">
        <f t="shared" si="50"/>
        <v>591</v>
      </c>
      <c r="R244" s="19">
        <f t="shared" si="51"/>
        <v>616</v>
      </c>
      <c r="S244" s="19">
        <f t="shared" si="52"/>
        <v>1549</v>
      </c>
      <c r="T244" s="19">
        <f t="shared" si="53"/>
        <v>9384</v>
      </c>
      <c r="U244" s="22" t="s">
        <v>30</v>
      </c>
    </row>
    <row r="245" spans="1:21" ht="15.75" customHeight="1">
      <c r="A245" s="21">
        <v>230</v>
      </c>
      <c r="B245" s="21" t="s">
        <v>316</v>
      </c>
      <c r="C245" s="21" t="s">
        <v>77</v>
      </c>
      <c r="D245" s="21" t="s">
        <v>61</v>
      </c>
      <c r="E245" s="22" t="s">
        <v>29</v>
      </c>
      <c r="F245" s="19">
        <v>15000</v>
      </c>
      <c r="G245" s="20">
        <v>0</v>
      </c>
      <c r="H245" s="20">
        <v>25</v>
      </c>
      <c r="I245" s="20">
        <v>0</v>
      </c>
      <c r="J245" s="20">
        <f>1000+1085.77</f>
        <v>2085.77</v>
      </c>
      <c r="K245" s="20">
        <f t="shared" si="48"/>
        <v>430.5</v>
      </c>
      <c r="L245" s="20">
        <f t="shared" si="49"/>
        <v>1065</v>
      </c>
      <c r="M245" s="20">
        <v>195</v>
      </c>
      <c r="N245" s="20">
        <v>456</v>
      </c>
      <c r="O245" s="20">
        <v>1063.5</v>
      </c>
      <c r="P245" s="20">
        <v>0</v>
      </c>
      <c r="Q245" s="19">
        <f t="shared" si="50"/>
        <v>886.5</v>
      </c>
      <c r="R245" s="19">
        <f t="shared" si="51"/>
        <v>2997.27</v>
      </c>
      <c r="S245" s="19">
        <f t="shared" si="52"/>
        <v>2323.5</v>
      </c>
      <c r="T245" s="19">
        <f t="shared" si="53"/>
        <v>12002.73</v>
      </c>
      <c r="U245" s="22" t="s">
        <v>30</v>
      </c>
    </row>
    <row r="246" spans="1:21" ht="15.75" customHeight="1">
      <c r="A246" s="21">
        <v>231</v>
      </c>
      <c r="B246" s="21" t="s">
        <v>317</v>
      </c>
      <c r="C246" s="21" t="s">
        <v>66</v>
      </c>
      <c r="D246" s="21" t="s">
        <v>61</v>
      </c>
      <c r="E246" s="22" t="s">
        <v>29</v>
      </c>
      <c r="F246" s="19">
        <v>20000</v>
      </c>
      <c r="G246" s="20">
        <v>0</v>
      </c>
      <c r="H246" s="20">
        <v>25</v>
      </c>
      <c r="I246" s="20">
        <v>0</v>
      </c>
      <c r="J246" s="20">
        <v>0</v>
      </c>
      <c r="K246" s="20">
        <f t="shared" si="48"/>
        <v>574</v>
      </c>
      <c r="L246" s="20">
        <f t="shared" si="49"/>
        <v>1419.9999999999998</v>
      </c>
      <c r="M246" s="20">
        <v>260</v>
      </c>
      <c r="N246" s="20">
        <v>608</v>
      </c>
      <c r="O246" s="20">
        <v>1418</v>
      </c>
      <c r="P246" s="20">
        <v>0</v>
      </c>
      <c r="Q246" s="19">
        <f t="shared" si="50"/>
        <v>1182</v>
      </c>
      <c r="R246" s="19">
        <f t="shared" si="51"/>
        <v>1207</v>
      </c>
      <c r="S246" s="19">
        <f t="shared" si="52"/>
        <v>3098</v>
      </c>
      <c r="T246" s="19">
        <f t="shared" si="53"/>
        <v>18793</v>
      </c>
      <c r="U246" s="22" t="s">
        <v>30</v>
      </c>
    </row>
    <row r="247" spans="1:21" ht="15.75" customHeight="1">
      <c r="A247" s="17">
        <v>232</v>
      </c>
      <c r="B247" s="21" t="s">
        <v>318</v>
      </c>
      <c r="C247" s="21" t="s">
        <v>88</v>
      </c>
      <c r="D247" s="21" t="s">
        <v>58</v>
      </c>
      <c r="E247" s="22" t="s">
        <v>29</v>
      </c>
      <c r="F247" s="19">
        <v>15000</v>
      </c>
      <c r="G247" s="20">
        <v>0</v>
      </c>
      <c r="H247" s="20">
        <v>25</v>
      </c>
      <c r="I247" s="20">
        <v>0</v>
      </c>
      <c r="J247" s="20">
        <f>1000+1000+6263.44</f>
        <v>8263.4399999999987</v>
      </c>
      <c r="K247" s="20">
        <f t="shared" si="48"/>
        <v>430.5</v>
      </c>
      <c r="L247" s="20">
        <f t="shared" si="49"/>
        <v>1065</v>
      </c>
      <c r="M247" s="20">
        <v>195</v>
      </c>
      <c r="N247" s="20">
        <v>456</v>
      </c>
      <c r="O247" s="20">
        <v>1063.5</v>
      </c>
      <c r="P247" s="20">
        <v>0</v>
      </c>
      <c r="Q247" s="19">
        <f t="shared" si="50"/>
        <v>886.5</v>
      </c>
      <c r="R247" s="19">
        <f t="shared" si="51"/>
        <v>9174.9399999999987</v>
      </c>
      <c r="S247" s="19">
        <f t="shared" si="52"/>
        <v>2323.5</v>
      </c>
      <c r="T247" s="19">
        <f t="shared" si="53"/>
        <v>5825.0600000000013</v>
      </c>
      <c r="U247" s="22" t="s">
        <v>30</v>
      </c>
    </row>
    <row r="248" spans="1:21" ht="15.75" customHeight="1">
      <c r="A248" s="21">
        <v>233</v>
      </c>
      <c r="B248" s="21" t="s">
        <v>319</v>
      </c>
      <c r="C248" s="21" t="s">
        <v>68</v>
      </c>
      <c r="D248" s="21" t="s">
        <v>52</v>
      </c>
      <c r="E248" s="22" t="s">
        <v>29</v>
      </c>
      <c r="F248" s="19">
        <v>35000</v>
      </c>
      <c r="G248" s="20">
        <v>0</v>
      </c>
      <c r="H248" s="20">
        <v>25</v>
      </c>
      <c r="I248" s="20">
        <v>0</v>
      </c>
      <c r="J248" s="20">
        <f>300+1516.34</f>
        <v>1816.34</v>
      </c>
      <c r="K248" s="20">
        <f t="shared" si="48"/>
        <v>1004.5</v>
      </c>
      <c r="L248" s="20">
        <f t="shared" si="49"/>
        <v>2485</v>
      </c>
      <c r="M248" s="20">
        <v>455</v>
      </c>
      <c r="N248" s="20">
        <v>1064</v>
      </c>
      <c r="O248" s="20">
        <v>2481.5</v>
      </c>
      <c r="P248" s="20">
        <v>393</v>
      </c>
      <c r="Q248" s="19">
        <f t="shared" si="50"/>
        <v>2068.5</v>
      </c>
      <c r="R248" s="19">
        <f t="shared" si="51"/>
        <v>4302.84</v>
      </c>
      <c r="S248" s="19">
        <f t="shared" si="52"/>
        <v>5421.5</v>
      </c>
      <c r="T248" s="19">
        <f t="shared" si="53"/>
        <v>30697.16</v>
      </c>
      <c r="U248" s="22" t="s">
        <v>36</v>
      </c>
    </row>
    <row r="249" spans="1:21" ht="15.75" customHeight="1">
      <c r="A249" s="21">
        <v>234</v>
      </c>
      <c r="B249" s="21" t="s">
        <v>320</v>
      </c>
      <c r="C249" s="21" t="s">
        <v>68</v>
      </c>
      <c r="D249" s="21" t="s">
        <v>135</v>
      </c>
      <c r="E249" s="22" t="s">
        <v>29</v>
      </c>
      <c r="F249" s="19">
        <v>18000</v>
      </c>
      <c r="G249" s="20">
        <v>0</v>
      </c>
      <c r="H249" s="20">
        <v>25</v>
      </c>
      <c r="I249" s="20">
        <v>0</v>
      </c>
      <c r="J249" s="20">
        <v>0</v>
      </c>
      <c r="K249" s="20">
        <f t="shared" si="48"/>
        <v>516.6</v>
      </c>
      <c r="L249" s="20">
        <f t="shared" si="49"/>
        <v>1277.9999999999998</v>
      </c>
      <c r="M249" s="20">
        <v>234</v>
      </c>
      <c r="N249" s="20">
        <v>547.20000000000005</v>
      </c>
      <c r="O249" s="20">
        <v>1276.2</v>
      </c>
      <c r="P249" s="20">
        <v>0</v>
      </c>
      <c r="Q249" s="19">
        <f t="shared" si="50"/>
        <v>1063.8000000000002</v>
      </c>
      <c r="R249" s="19">
        <f t="shared" si="51"/>
        <v>1088.8000000000002</v>
      </c>
      <c r="S249" s="19">
        <f t="shared" si="52"/>
        <v>2788.2</v>
      </c>
      <c r="T249" s="19">
        <f t="shared" si="53"/>
        <v>16911.2</v>
      </c>
      <c r="U249" s="22" t="s">
        <v>36</v>
      </c>
    </row>
    <row r="250" spans="1:21" ht="15.75" customHeight="1">
      <c r="A250" s="17">
        <v>235</v>
      </c>
      <c r="B250" s="21" t="s">
        <v>321</v>
      </c>
      <c r="C250" s="21" t="s">
        <v>322</v>
      </c>
      <c r="D250" s="21" t="s">
        <v>61</v>
      </c>
      <c r="E250" s="22" t="s">
        <v>29</v>
      </c>
      <c r="F250" s="19">
        <v>25000</v>
      </c>
      <c r="G250" s="20">
        <v>0</v>
      </c>
      <c r="H250" s="20">
        <v>25</v>
      </c>
      <c r="I250" s="20">
        <v>0</v>
      </c>
      <c r="J250" s="20">
        <v>0</v>
      </c>
      <c r="K250" s="20">
        <f t="shared" si="48"/>
        <v>717.5</v>
      </c>
      <c r="L250" s="20">
        <f t="shared" si="49"/>
        <v>1774.9999999999998</v>
      </c>
      <c r="M250" s="20">
        <v>325</v>
      </c>
      <c r="N250" s="20">
        <v>760</v>
      </c>
      <c r="O250" s="20">
        <v>1772.5000000000002</v>
      </c>
      <c r="P250" s="20">
        <v>0</v>
      </c>
      <c r="Q250" s="19">
        <f t="shared" si="50"/>
        <v>1477.5</v>
      </c>
      <c r="R250" s="19">
        <f t="shared" si="51"/>
        <v>1502.5</v>
      </c>
      <c r="S250" s="19">
        <f t="shared" si="52"/>
        <v>3872.5</v>
      </c>
      <c r="T250" s="19">
        <f t="shared" si="53"/>
        <v>23497.5</v>
      </c>
      <c r="U250" s="22" t="s">
        <v>36</v>
      </c>
    </row>
    <row r="251" spans="1:21" ht="15.75" customHeight="1">
      <c r="A251" s="21">
        <v>236</v>
      </c>
      <c r="B251" s="21" t="s">
        <v>323</v>
      </c>
      <c r="C251" s="21" t="s">
        <v>66</v>
      </c>
      <c r="D251" s="21" t="s">
        <v>58</v>
      </c>
      <c r="E251" s="22" t="s">
        <v>29</v>
      </c>
      <c r="F251" s="19">
        <v>24000</v>
      </c>
      <c r="G251" s="20">
        <v>0</v>
      </c>
      <c r="H251" s="20">
        <v>25</v>
      </c>
      <c r="I251" s="20">
        <v>0</v>
      </c>
      <c r="J251" s="20">
        <v>0</v>
      </c>
      <c r="K251" s="20">
        <f t="shared" si="48"/>
        <v>688.8</v>
      </c>
      <c r="L251" s="20">
        <f t="shared" si="49"/>
        <v>1703.9999999999998</v>
      </c>
      <c r="M251" s="20">
        <v>312</v>
      </c>
      <c r="N251" s="20">
        <v>729.6</v>
      </c>
      <c r="O251" s="20">
        <v>1701.6000000000001</v>
      </c>
      <c r="P251" s="20">
        <v>0</v>
      </c>
      <c r="Q251" s="19">
        <f t="shared" si="50"/>
        <v>1418.4</v>
      </c>
      <c r="R251" s="19">
        <f t="shared" si="51"/>
        <v>1443.4</v>
      </c>
      <c r="S251" s="19">
        <f t="shared" si="52"/>
        <v>3717.6</v>
      </c>
      <c r="T251" s="19">
        <f t="shared" si="53"/>
        <v>22556.6</v>
      </c>
      <c r="U251" s="22" t="s">
        <v>30</v>
      </c>
    </row>
    <row r="252" spans="1:21" ht="15.75" customHeight="1">
      <c r="A252" s="21">
        <v>237</v>
      </c>
      <c r="B252" s="21" t="s">
        <v>324</v>
      </c>
      <c r="C252" s="21" t="s">
        <v>77</v>
      </c>
      <c r="D252" s="21" t="s">
        <v>61</v>
      </c>
      <c r="E252" s="22" t="s">
        <v>29</v>
      </c>
      <c r="F252" s="19">
        <v>15000</v>
      </c>
      <c r="G252" s="20">
        <v>0</v>
      </c>
      <c r="H252" s="20">
        <v>25</v>
      </c>
      <c r="I252" s="20">
        <v>0</v>
      </c>
      <c r="J252" s="20">
        <v>0</v>
      </c>
      <c r="K252" s="20">
        <f t="shared" si="48"/>
        <v>430.5</v>
      </c>
      <c r="L252" s="20">
        <f t="shared" si="49"/>
        <v>1065</v>
      </c>
      <c r="M252" s="20">
        <v>195</v>
      </c>
      <c r="N252" s="20">
        <v>456</v>
      </c>
      <c r="O252" s="20">
        <v>1063.5</v>
      </c>
      <c r="P252" s="20">
        <v>0</v>
      </c>
      <c r="Q252" s="19">
        <f t="shared" si="50"/>
        <v>886.5</v>
      </c>
      <c r="R252" s="19">
        <f t="shared" si="51"/>
        <v>911.5</v>
      </c>
      <c r="S252" s="19">
        <f t="shared" si="52"/>
        <v>2323.5</v>
      </c>
      <c r="T252" s="19">
        <f t="shared" si="53"/>
        <v>14088.5</v>
      </c>
      <c r="U252" s="22" t="s">
        <v>30</v>
      </c>
    </row>
    <row r="253" spans="1:21" ht="15.75" customHeight="1">
      <c r="A253" s="17">
        <v>238</v>
      </c>
      <c r="B253" s="21" t="s">
        <v>325</v>
      </c>
      <c r="C253" s="21" t="s">
        <v>171</v>
      </c>
      <c r="D253" s="21" t="s">
        <v>58</v>
      </c>
      <c r="E253" s="22" t="s">
        <v>29</v>
      </c>
      <c r="F253" s="19">
        <v>10000</v>
      </c>
      <c r="G253" s="20">
        <v>0</v>
      </c>
      <c r="H253" s="20">
        <v>25</v>
      </c>
      <c r="I253" s="20">
        <v>0</v>
      </c>
      <c r="J253" s="20">
        <v>0</v>
      </c>
      <c r="K253" s="20">
        <f t="shared" si="48"/>
        <v>287</v>
      </c>
      <c r="L253" s="20">
        <f t="shared" si="49"/>
        <v>709.99999999999989</v>
      </c>
      <c r="M253" s="20">
        <v>130</v>
      </c>
      <c r="N253" s="20">
        <v>304</v>
      </c>
      <c r="O253" s="20">
        <v>709</v>
      </c>
      <c r="P253" s="20">
        <v>393</v>
      </c>
      <c r="Q253" s="19">
        <f t="shared" si="50"/>
        <v>591</v>
      </c>
      <c r="R253" s="19">
        <f t="shared" si="51"/>
        <v>1009</v>
      </c>
      <c r="S253" s="19">
        <f t="shared" si="52"/>
        <v>1549</v>
      </c>
      <c r="T253" s="19">
        <f t="shared" si="53"/>
        <v>8991</v>
      </c>
      <c r="U253" s="22" t="s">
        <v>30</v>
      </c>
    </row>
    <row r="254" spans="1:21" ht="15.75" customHeight="1">
      <c r="A254" s="21">
        <v>239</v>
      </c>
      <c r="B254" s="21" t="s">
        <v>326</v>
      </c>
      <c r="C254" s="21" t="s">
        <v>48</v>
      </c>
      <c r="D254" s="21" t="s">
        <v>41</v>
      </c>
      <c r="E254" s="22" t="s">
        <v>29</v>
      </c>
      <c r="F254" s="19">
        <v>20000</v>
      </c>
      <c r="G254" s="20">
        <v>0</v>
      </c>
      <c r="H254" s="20">
        <v>25</v>
      </c>
      <c r="I254" s="20">
        <v>0</v>
      </c>
      <c r="J254" s="20">
        <v>0</v>
      </c>
      <c r="K254" s="20">
        <f t="shared" si="48"/>
        <v>574</v>
      </c>
      <c r="L254" s="20">
        <f t="shared" si="49"/>
        <v>1419.9999999999998</v>
      </c>
      <c r="M254" s="20">
        <v>260</v>
      </c>
      <c r="N254" s="20">
        <v>608</v>
      </c>
      <c r="O254" s="20">
        <v>1418</v>
      </c>
      <c r="P254" s="20">
        <v>0</v>
      </c>
      <c r="Q254" s="19">
        <f t="shared" si="50"/>
        <v>1182</v>
      </c>
      <c r="R254" s="19">
        <f t="shared" si="51"/>
        <v>1207</v>
      </c>
      <c r="S254" s="19">
        <f t="shared" si="52"/>
        <v>3098</v>
      </c>
      <c r="T254" s="19">
        <f t="shared" si="53"/>
        <v>18793</v>
      </c>
      <c r="U254" s="22" t="s">
        <v>36</v>
      </c>
    </row>
    <row r="255" spans="1:21" ht="15.75" customHeight="1">
      <c r="A255" s="21">
        <v>240</v>
      </c>
      <c r="B255" s="21" t="s">
        <v>327</v>
      </c>
      <c r="C255" s="21" t="s">
        <v>48</v>
      </c>
      <c r="D255" s="21" t="s">
        <v>72</v>
      </c>
      <c r="E255" s="22" t="s">
        <v>29</v>
      </c>
      <c r="F255" s="19">
        <v>10000</v>
      </c>
      <c r="G255" s="20">
        <v>0</v>
      </c>
      <c r="H255" s="20">
        <v>25</v>
      </c>
      <c r="I255" s="20">
        <v>0</v>
      </c>
      <c r="J255" s="20">
        <f>1000+5325.82</f>
        <v>6325.82</v>
      </c>
      <c r="K255" s="20">
        <f t="shared" si="48"/>
        <v>287</v>
      </c>
      <c r="L255" s="20">
        <f t="shared" si="49"/>
        <v>709.99999999999989</v>
      </c>
      <c r="M255" s="20">
        <v>130</v>
      </c>
      <c r="N255" s="20">
        <v>304</v>
      </c>
      <c r="O255" s="20">
        <v>709</v>
      </c>
      <c r="P255" s="20">
        <v>0</v>
      </c>
      <c r="Q255" s="19">
        <f t="shared" si="50"/>
        <v>591</v>
      </c>
      <c r="R255" s="19">
        <f t="shared" si="51"/>
        <v>6941.82</v>
      </c>
      <c r="S255" s="19">
        <f t="shared" si="52"/>
        <v>1549</v>
      </c>
      <c r="T255" s="19">
        <f t="shared" si="53"/>
        <v>3058.1800000000003</v>
      </c>
      <c r="U255" s="22" t="s">
        <v>36</v>
      </c>
    </row>
    <row r="256" spans="1:21" ht="15.75" customHeight="1">
      <c r="A256" s="17">
        <v>241</v>
      </c>
      <c r="B256" s="21" t="s">
        <v>328</v>
      </c>
      <c r="C256" s="21" t="s">
        <v>77</v>
      </c>
      <c r="D256" s="21" t="s">
        <v>58</v>
      </c>
      <c r="E256" s="22" t="s">
        <v>29</v>
      </c>
      <c r="F256" s="19">
        <v>10000</v>
      </c>
      <c r="G256" s="20">
        <v>0</v>
      </c>
      <c r="H256" s="20">
        <v>25</v>
      </c>
      <c r="I256" s="20">
        <v>0</v>
      </c>
      <c r="J256" s="20">
        <v>0</v>
      </c>
      <c r="K256" s="20">
        <f t="shared" si="48"/>
        <v>287</v>
      </c>
      <c r="L256" s="20">
        <f t="shared" si="49"/>
        <v>709.99999999999989</v>
      </c>
      <c r="M256" s="20">
        <v>130</v>
      </c>
      <c r="N256" s="20">
        <v>304</v>
      </c>
      <c r="O256" s="20">
        <v>709</v>
      </c>
      <c r="P256" s="20">
        <v>0</v>
      </c>
      <c r="Q256" s="19">
        <f t="shared" si="50"/>
        <v>591</v>
      </c>
      <c r="R256" s="19">
        <f t="shared" si="51"/>
        <v>616</v>
      </c>
      <c r="S256" s="19">
        <f t="shared" si="52"/>
        <v>1549</v>
      </c>
      <c r="T256" s="19">
        <f t="shared" si="53"/>
        <v>9384</v>
      </c>
      <c r="U256" s="22" t="s">
        <v>36</v>
      </c>
    </row>
    <row r="257" spans="1:21" ht="15.75" customHeight="1">
      <c r="A257" s="21">
        <v>242</v>
      </c>
      <c r="B257" s="21" t="s">
        <v>329</v>
      </c>
      <c r="C257" s="21" t="s">
        <v>68</v>
      </c>
      <c r="D257" s="21" t="s">
        <v>69</v>
      </c>
      <c r="E257" s="22" t="s">
        <v>29</v>
      </c>
      <c r="F257" s="19">
        <v>20000</v>
      </c>
      <c r="G257" s="20">
        <v>0</v>
      </c>
      <c r="H257" s="20">
        <v>25</v>
      </c>
      <c r="I257" s="20">
        <v>0</v>
      </c>
      <c r="J257" s="20">
        <f>700+300+2367.36</f>
        <v>3367.36</v>
      </c>
      <c r="K257" s="20">
        <f t="shared" si="48"/>
        <v>574</v>
      </c>
      <c r="L257" s="20">
        <f t="shared" si="49"/>
        <v>1419.9999999999998</v>
      </c>
      <c r="M257" s="20">
        <v>260</v>
      </c>
      <c r="N257" s="20">
        <v>608</v>
      </c>
      <c r="O257" s="20">
        <v>1418</v>
      </c>
      <c r="P257" s="20">
        <v>0</v>
      </c>
      <c r="Q257" s="19">
        <f t="shared" si="50"/>
        <v>1182</v>
      </c>
      <c r="R257" s="19">
        <f t="shared" si="51"/>
        <v>4574.3600000000006</v>
      </c>
      <c r="S257" s="19">
        <f t="shared" si="52"/>
        <v>3098</v>
      </c>
      <c r="T257" s="19">
        <f t="shared" si="53"/>
        <v>15425.64</v>
      </c>
      <c r="U257" s="22" t="s">
        <v>30</v>
      </c>
    </row>
    <row r="258" spans="1:21" ht="15.75" customHeight="1">
      <c r="A258" s="21">
        <v>243</v>
      </c>
      <c r="B258" s="21" t="s">
        <v>330</v>
      </c>
      <c r="C258" s="21" t="s">
        <v>331</v>
      </c>
      <c r="D258" s="21" t="s">
        <v>135</v>
      </c>
      <c r="E258" s="22" t="s">
        <v>29</v>
      </c>
      <c r="F258" s="19">
        <v>36000</v>
      </c>
      <c r="G258" s="20">
        <v>0</v>
      </c>
      <c r="H258" s="20">
        <v>25</v>
      </c>
      <c r="I258" s="20">
        <v>0</v>
      </c>
      <c r="J258" s="20">
        <v>0</v>
      </c>
      <c r="K258" s="20">
        <f t="shared" si="48"/>
        <v>1033.2</v>
      </c>
      <c r="L258" s="20">
        <f t="shared" si="49"/>
        <v>2555.9999999999995</v>
      </c>
      <c r="M258" s="20">
        <v>468</v>
      </c>
      <c r="N258" s="20">
        <v>1094.4000000000001</v>
      </c>
      <c r="O258" s="20">
        <v>2552.4</v>
      </c>
      <c r="P258" s="20">
        <v>0</v>
      </c>
      <c r="Q258" s="19">
        <f t="shared" si="50"/>
        <v>2127.6000000000004</v>
      </c>
      <c r="R258" s="19">
        <f t="shared" si="51"/>
        <v>2152.6000000000004</v>
      </c>
      <c r="S258" s="19">
        <f t="shared" si="52"/>
        <v>5576.4</v>
      </c>
      <c r="T258" s="19">
        <f t="shared" si="53"/>
        <v>33847.4</v>
      </c>
      <c r="U258" s="22" t="s">
        <v>30</v>
      </c>
    </row>
    <row r="259" spans="1:21" ht="15.75" customHeight="1">
      <c r="A259" s="17">
        <v>244</v>
      </c>
      <c r="B259" s="21" t="s">
        <v>332</v>
      </c>
      <c r="C259" s="21" t="s">
        <v>171</v>
      </c>
      <c r="D259" s="21" t="s">
        <v>172</v>
      </c>
      <c r="E259" s="22" t="s">
        <v>29</v>
      </c>
      <c r="F259" s="19">
        <v>18000</v>
      </c>
      <c r="G259" s="20">
        <v>0</v>
      </c>
      <c r="H259" s="20">
        <v>25</v>
      </c>
      <c r="I259" s="20">
        <v>0</v>
      </c>
      <c r="J259" s="20">
        <v>0</v>
      </c>
      <c r="K259" s="20">
        <f t="shared" si="48"/>
        <v>516.6</v>
      </c>
      <c r="L259" s="20">
        <f t="shared" si="49"/>
        <v>1277.9999999999998</v>
      </c>
      <c r="M259" s="20">
        <v>234</v>
      </c>
      <c r="N259" s="20">
        <v>547.20000000000005</v>
      </c>
      <c r="O259" s="20">
        <v>1276.2</v>
      </c>
      <c r="P259" s="20">
        <v>0</v>
      </c>
      <c r="Q259" s="19">
        <f t="shared" si="50"/>
        <v>1063.8000000000002</v>
      </c>
      <c r="R259" s="19">
        <f t="shared" si="51"/>
        <v>1088.8000000000002</v>
      </c>
      <c r="S259" s="19">
        <f t="shared" si="52"/>
        <v>2788.2</v>
      </c>
      <c r="T259" s="19">
        <f t="shared" si="53"/>
        <v>16911.2</v>
      </c>
      <c r="U259" s="22" t="s">
        <v>30</v>
      </c>
    </row>
    <row r="260" spans="1:21" ht="15.75" customHeight="1">
      <c r="A260" s="21">
        <v>245</v>
      </c>
      <c r="B260" s="21" t="s">
        <v>333</v>
      </c>
      <c r="C260" s="21" t="s">
        <v>57</v>
      </c>
      <c r="D260" s="21" t="s">
        <v>72</v>
      </c>
      <c r="E260" s="22" t="s">
        <v>29</v>
      </c>
      <c r="F260" s="19">
        <v>10000</v>
      </c>
      <c r="G260" s="20">
        <v>0</v>
      </c>
      <c r="H260" s="20">
        <v>25</v>
      </c>
      <c r="I260" s="20">
        <v>0</v>
      </c>
      <c r="J260" s="20">
        <v>0</v>
      </c>
      <c r="K260" s="20">
        <f t="shared" si="48"/>
        <v>287</v>
      </c>
      <c r="L260" s="20">
        <f t="shared" si="49"/>
        <v>709.99999999999989</v>
      </c>
      <c r="M260" s="20">
        <v>130</v>
      </c>
      <c r="N260" s="20">
        <v>304</v>
      </c>
      <c r="O260" s="20">
        <v>709</v>
      </c>
      <c r="P260" s="20">
        <v>0</v>
      </c>
      <c r="Q260" s="19">
        <f t="shared" si="50"/>
        <v>591</v>
      </c>
      <c r="R260" s="19">
        <f t="shared" si="51"/>
        <v>616</v>
      </c>
      <c r="S260" s="19">
        <f t="shared" si="52"/>
        <v>1549</v>
      </c>
      <c r="T260" s="19">
        <f t="shared" si="53"/>
        <v>9384</v>
      </c>
      <c r="U260" s="22" t="s">
        <v>30</v>
      </c>
    </row>
    <row r="261" spans="1:21" ht="15.75" customHeight="1">
      <c r="A261" s="21">
        <v>246</v>
      </c>
      <c r="B261" s="21" t="s">
        <v>334</v>
      </c>
      <c r="C261" s="21" t="s">
        <v>283</v>
      </c>
      <c r="D261" s="21" t="s">
        <v>335</v>
      </c>
      <c r="E261" s="22" t="s">
        <v>29</v>
      </c>
      <c r="F261" s="19">
        <v>25000</v>
      </c>
      <c r="G261" s="20">
        <v>0</v>
      </c>
      <c r="H261" s="20">
        <v>25</v>
      </c>
      <c r="I261" s="20">
        <v>0</v>
      </c>
      <c r="J261" s="20">
        <v>0</v>
      </c>
      <c r="K261" s="20">
        <f t="shared" si="48"/>
        <v>717.5</v>
      </c>
      <c r="L261" s="20">
        <f t="shared" si="49"/>
        <v>1774.9999999999998</v>
      </c>
      <c r="M261" s="20">
        <v>325</v>
      </c>
      <c r="N261" s="20">
        <v>760</v>
      </c>
      <c r="O261" s="20">
        <v>1772.5000000000002</v>
      </c>
      <c r="P261" s="20">
        <v>0</v>
      </c>
      <c r="Q261" s="19">
        <f t="shared" si="50"/>
        <v>1477.5</v>
      </c>
      <c r="R261" s="19">
        <f t="shared" si="51"/>
        <v>1502.5</v>
      </c>
      <c r="S261" s="19">
        <f t="shared" si="52"/>
        <v>3872.5</v>
      </c>
      <c r="T261" s="19">
        <f t="shared" si="53"/>
        <v>23497.5</v>
      </c>
      <c r="U261" s="22" t="s">
        <v>30</v>
      </c>
    </row>
    <row r="262" spans="1:21" ht="15.75" customHeight="1">
      <c r="A262" s="17">
        <v>247</v>
      </c>
      <c r="B262" s="21" t="s">
        <v>336</v>
      </c>
      <c r="C262" s="21" t="s">
        <v>77</v>
      </c>
      <c r="D262" s="21" t="s">
        <v>335</v>
      </c>
      <c r="E262" s="22" t="s">
        <v>29</v>
      </c>
      <c r="F262" s="19">
        <v>15000</v>
      </c>
      <c r="G262" s="20">
        <v>0</v>
      </c>
      <c r="H262" s="20">
        <v>25</v>
      </c>
      <c r="I262" s="20">
        <v>0</v>
      </c>
      <c r="J262" s="20">
        <v>0</v>
      </c>
      <c r="K262" s="20">
        <f t="shared" si="48"/>
        <v>430.5</v>
      </c>
      <c r="L262" s="20">
        <f t="shared" si="49"/>
        <v>1065</v>
      </c>
      <c r="M262" s="20">
        <v>195</v>
      </c>
      <c r="N262" s="20">
        <v>456</v>
      </c>
      <c r="O262" s="20">
        <v>1063.5</v>
      </c>
      <c r="P262" s="20">
        <v>0</v>
      </c>
      <c r="Q262" s="19">
        <f t="shared" si="50"/>
        <v>886.5</v>
      </c>
      <c r="R262" s="19">
        <f t="shared" si="51"/>
        <v>911.5</v>
      </c>
      <c r="S262" s="19">
        <f t="shared" si="52"/>
        <v>2323.5</v>
      </c>
      <c r="T262" s="19">
        <f t="shared" si="53"/>
        <v>14088.5</v>
      </c>
      <c r="U262" s="22" t="s">
        <v>30</v>
      </c>
    </row>
    <row r="263" spans="1:21" ht="15.75" customHeight="1">
      <c r="A263" s="21">
        <v>248</v>
      </c>
      <c r="B263" s="21" t="s">
        <v>337</v>
      </c>
      <c r="C263" s="21" t="s">
        <v>77</v>
      </c>
      <c r="D263" s="21" t="s">
        <v>78</v>
      </c>
      <c r="E263" s="22" t="s">
        <v>29</v>
      </c>
      <c r="F263" s="19">
        <v>10000</v>
      </c>
      <c r="G263" s="20">
        <v>0</v>
      </c>
      <c r="H263" s="20">
        <v>25</v>
      </c>
      <c r="I263" s="20">
        <v>0</v>
      </c>
      <c r="J263" s="20">
        <v>0</v>
      </c>
      <c r="K263" s="20">
        <f t="shared" si="48"/>
        <v>287</v>
      </c>
      <c r="L263" s="20">
        <f t="shared" si="49"/>
        <v>709.99999999999989</v>
      </c>
      <c r="M263" s="20">
        <v>130</v>
      </c>
      <c r="N263" s="20">
        <v>304</v>
      </c>
      <c r="O263" s="20">
        <v>709</v>
      </c>
      <c r="P263" s="20">
        <v>0</v>
      </c>
      <c r="Q263" s="19">
        <f t="shared" si="50"/>
        <v>591</v>
      </c>
      <c r="R263" s="19">
        <f t="shared" si="51"/>
        <v>616</v>
      </c>
      <c r="S263" s="19">
        <f t="shared" si="52"/>
        <v>1549</v>
      </c>
      <c r="T263" s="19">
        <f t="shared" si="53"/>
        <v>9384</v>
      </c>
      <c r="U263" s="22" t="s">
        <v>30</v>
      </c>
    </row>
    <row r="264" spans="1:21" ht="15.75" customHeight="1">
      <c r="A264" s="21">
        <v>249</v>
      </c>
      <c r="B264" s="21" t="s">
        <v>338</v>
      </c>
      <c r="C264" s="21" t="s">
        <v>63</v>
      </c>
      <c r="D264" s="21" t="s">
        <v>98</v>
      </c>
      <c r="E264" s="22" t="s">
        <v>29</v>
      </c>
      <c r="F264" s="19">
        <v>25000</v>
      </c>
      <c r="G264" s="20">
        <v>0</v>
      </c>
      <c r="H264" s="20">
        <v>25</v>
      </c>
      <c r="I264" s="20">
        <v>0</v>
      </c>
      <c r="J264" s="20">
        <f>1300+300+1560.5</f>
        <v>3160.5</v>
      </c>
      <c r="K264" s="20">
        <f t="shared" si="48"/>
        <v>717.5</v>
      </c>
      <c r="L264" s="20">
        <f t="shared" si="49"/>
        <v>1774.9999999999998</v>
      </c>
      <c r="M264" s="20">
        <v>325</v>
      </c>
      <c r="N264" s="20">
        <v>760</v>
      </c>
      <c r="O264" s="20">
        <v>1772.5000000000002</v>
      </c>
      <c r="P264" s="20">
        <v>0</v>
      </c>
      <c r="Q264" s="19">
        <f t="shared" si="50"/>
        <v>1477.5</v>
      </c>
      <c r="R264" s="19">
        <f t="shared" si="51"/>
        <v>4663</v>
      </c>
      <c r="S264" s="19">
        <f t="shared" si="52"/>
        <v>3872.5</v>
      </c>
      <c r="T264" s="19">
        <f t="shared" si="53"/>
        <v>20337</v>
      </c>
      <c r="U264" s="22" t="s">
        <v>30</v>
      </c>
    </row>
    <row r="265" spans="1:21" ht="15.75" customHeight="1">
      <c r="A265" s="17">
        <v>250</v>
      </c>
      <c r="B265" s="21" t="s">
        <v>339</v>
      </c>
      <c r="C265" s="21" t="s">
        <v>77</v>
      </c>
      <c r="D265" s="21" t="s">
        <v>78</v>
      </c>
      <c r="E265" s="22" t="s">
        <v>29</v>
      </c>
      <c r="F265" s="19">
        <v>10000</v>
      </c>
      <c r="G265" s="20">
        <v>0</v>
      </c>
      <c r="H265" s="20">
        <v>25</v>
      </c>
      <c r="I265" s="20">
        <v>0</v>
      </c>
      <c r="J265" s="20">
        <v>0</v>
      </c>
      <c r="K265" s="20">
        <f t="shared" si="48"/>
        <v>287</v>
      </c>
      <c r="L265" s="20">
        <f t="shared" si="49"/>
        <v>709.99999999999989</v>
      </c>
      <c r="M265" s="20">
        <v>130</v>
      </c>
      <c r="N265" s="20">
        <v>304</v>
      </c>
      <c r="O265" s="20">
        <v>709</v>
      </c>
      <c r="P265" s="20">
        <v>0</v>
      </c>
      <c r="Q265" s="19">
        <f t="shared" si="50"/>
        <v>591</v>
      </c>
      <c r="R265" s="19">
        <f t="shared" si="51"/>
        <v>616</v>
      </c>
      <c r="S265" s="19">
        <f t="shared" si="52"/>
        <v>1549</v>
      </c>
      <c r="T265" s="19">
        <f t="shared" si="53"/>
        <v>9384</v>
      </c>
      <c r="U265" s="22" t="s">
        <v>30</v>
      </c>
    </row>
    <row r="266" spans="1:21" ht="15.75" customHeight="1">
      <c r="A266" s="21">
        <v>251</v>
      </c>
      <c r="B266" s="21" t="s">
        <v>340</v>
      </c>
      <c r="C266" s="21" t="s">
        <v>66</v>
      </c>
      <c r="D266" s="21" t="s">
        <v>58</v>
      </c>
      <c r="E266" s="22" t="s">
        <v>29</v>
      </c>
      <c r="F266" s="19">
        <v>30000</v>
      </c>
      <c r="G266" s="20">
        <v>0</v>
      </c>
      <c r="H266" s="20">
        <v>25</v>
      </c>
      <c r="I266" s="20">
        <v>0</v>
      </c>
      <c r="J266" s="20">
        <v>0</v>
      </c>
      <c r="K266" s="20">
        <f t="shared" si="48"/>
        <v>861</v>
      </c>
      <c r="L266" s="20">
        <f t="shared" si="49"/>
        <v>2130</v>
      </c>
      <c r="M266" s="20">
        <v>390</v>
      </c>
      <c r="N266" s="20">
        <v>912</v>
      </c>
      <c r="O266" s="20">
        <v>2127</v>
      </c>
      <c r="P266" s="20">
        <v>0</v>
      </c>
      <c r="Q266" s="19">
        <f t="shared" si="50"/>
        <v>1773</v>
      </c>
      <c r="R266" s="19">
        <f t="shared" si="51"/>
        <v>1798</v>
      </c>
      <c r="S266" s="19">
        <f t="shared" si="52"/>
        <v>4647</v>
      </c>
      <c r="T266" s="19">
        <f t="shared" si="53"/>
        <v>28202</v>
      </c>
      <c r="U266" s="22" t="s">
        <v>30</v>
      </c>
    </row>
    <row r="267" spans="1:21" ht="15.75" customHeight="1">
      <c r="A267" s="21">
        <v>252</v>
      </c>
      <c r="B267" s="21" t="s">
        <v>341</v>
      </c>
      <c r="C267" s="21" t="s">
        <v>51</v>
      </c>
      <c r="D267" s="21" t="s">
        <v>52</v>
      </c>
      <c r="E267" s="22" t="s">
        <v>29</v>
      </c>
      <c r="F267" s="19">
        <v>20000</v>
      </c>
      <c r="G267" s="20">
        <v>0</v>
      </c>
      <c r="H267" s="20">
        <v>25</v>
      </c>
      <c r="I267" s="20">
        <v>0</v>
      </c>
      <c r="J267" s="20">
        <v>0</v>
      </c>
      <c r="K267" s="20">
        <f t="shared" si="48"/>
        <v>574</v>
      </c>
      <c r="L267" s="20">
        <f t="shared" si="49"/>
        <v>1419.9999999999998</v>
      </c>
      <c r="M267" s="20">
        <v>260</v>
      </c>
      <c r="N267" s="20">
        <v>608</v>
      </c>
      <c r="O267" s="20">
        <v>1418</v>
      </c>
      <c r="P267" s="20">
        <v>0</v>
      </c>
      <c r="Q267" s="19">
        <f t="shared" si="50"/>
        <v>1182</v>
      </c>
      <c r="R267" s="19">
        <f t="shared" si="51"/>
        <v>1207</v>
      </c>
      <c r="S267" s="19">
        <f t="shared" si="52"/>
        <v>3098</v>
      </c>
      <c r="T267" s="19">
        <f t="shared" si="53"/>
        <v>18793</v>
      </c>
      <c r="U267" s="22" t="s">
        <v>30</v>
      </c>
    </row>
    <row r="268" spans="1:21" ht="15.75" customHeight="1">
      <c r="A268" s="17">
        <v>253</v>
      </c>
      <c r="B268" s="21" t="s">
        <v>342</v>
      </c>
      <c r="C268" s="21" t="s">
        <v>63</v>
      </c>
      <c r="D268" s="21" t="s">
        <v>98</v>
      </c>
      <c r="E268" s="22" t="s">
        <v>29</v>
      </c>
      <c r="F268" s="19">
        <v>20000</v>
      </c>
      <c r="G268" s="20">
        <v>0</v>
      </c>
      <c r="H268" s="20">
        <v>25</v>
      </c>
      <c r="I268" s="20">
        <v>0</v>
      </c>
      <c r="J268" s="20">
        <v>0</v>
      </c>
      <c r="K268" s="20">
        <f t="shared" si="48"/>
        <v>574</v>
      </c>
      <c r="L268" s="20">
        <f t="shared" si="49"/>
        <v>1419.9999999999998</v>
      </c>
      <c r="M268" s="20">
        <v>260</v>
      </c>
      <c r="N268" s="20">
        <v>608</v>
      </c>
      <c r="O268" s="20">
        <v>1418</v>
      </c>
      <c r="P268" s="20">
        <v>0</v>
      </c>
      <c r="Q268" s="19">
        <f t="shared" si="50"/>
        <v>1182</v>
      </c>
      <c r="R268" s="19">
        <f t="shared" si="51"/>
        <v>1207</v>
      </c>
      <c r="S268" s="19">
        <f t="shared" si="52"/>
        <v>3098</v>
      </c>
      <c r="T268" s="19">
        <f t="shared" si="53"/>
        <v>18793</v>
      </c>
      <c r="U268" s="22" t="s">
        <v>30</v>
      </c>
    </row>
    <row r="269" spans="1:21" ht="15.75" customHeight="1">
      <c r="A269" s="21">
        <v>254</v>
      </c>
      <c r="B269" s="21" t="s">
        <v>343</v>
      </c>
      <c r="C269" s="21" t="s">
        <v>77</v>
      </c>
      <c r="D269" s="21" t="s">
        <v>78</v>
      </c>
      <c r="E269" s="22" t="s">
        <v>29</v>
      </c>
      <c r="F269" s="19">
        <v>10000</v>
      </c>
      <c r="G269" s="20">
        <v>0</v>
      </c>
      <c r="H269" s="20">
        <v>25</v>
      </c>
      <c r="I269" s="20">
        <v>0</v>
      </c>
      <c r="J269" s="20">
        <v>0</v>
      </c>
      <c r="K269" s="20">
        <f t="shared" si="48"/>
        <v>287</v>
      </c>
      <c r="L269" s="20">
        <f t="shared" si="49"/>
        <v>709.99999999999989</v>
      </c>
      <c r="M269" s="20">
        <v>130</v>
      </c>
      <c r="N269" s="20">
        <v>304</v>
      </c>
      <c r="O269" s="20">
        <v>709</v>
      </c>
      <c r="P269" s="20">
        <v>0</v>
      </c>
      <c r="Q269" s="19">
        <f t="shared" si="50"/>
        <v>591</v>
      </c>
      <c r="R269" s="19">
        <f t="shared" si="51"/>
        <v>616</v>
      </c>
      <c r="S269" s="19">
        <f t="shared" si="52"/>
        <v>1549</v>
      </c>
      <c r="T269" s="19">
        <f t="shared" si="53"/>
        <v>9384</v>
      </c>
      <c r="U269" s="22" t="s">
        <v>30</v>
      </c>
    </row>
    <row r="270" spans="1:21" ht="15.75" customHeight="1">
      <c r="A270" s="21">
        <v>255</v>
      </c>
      <c r="B270" s="21" t="s">
        <v>344</v>
      </c>
      <c r="C270" s="21" t="s">
        <v>48</v>
      </c>
      <c r="D270" s="21" t="s">
        <v>86</v>
      </c>
      <c r="E270" s="22" t="s">
        <v>29</v>
      </c>
      <c r="F270" s="19">
        <v>25000</v>
      </c>
      <c r="G270" s="20">
        <v>0</v>
      </c>
      <c r="H270" s="20">
        <v>25</v>
      </c>
      <c r="I270" s="20">
        <v>0</v>
      </c>
      <c r="J270" s="20">
        <v>0</v>
      </c>
      <c r="K270" s="20">
        <f t="shared" si="48"/>
        <v>717.5</v>
      </c>
      <c r="L270" s="20">
        <f t="shared" si="49"/>
        <v>1774.9999999999998</v>
      </c>
      <c r="M270" s="20">
        <v>325</v>
      </c>
      <c r="N270" s="20">
        <v>760</v>
      </c>
      <c r="O270" s="20">
        <v>1772.5000000000002</v>
      </c>
      <c r="P270" s="20">
        <v>0</v>
      </c>
      <c r="Q270" s="19">
        <f t="shared" si="50"/>
        <v>1477.5</v>
      </c>
      <c r="R270" s="19">
        <f t="shared" si="51"/>
        <v>1502.5</v>
      </c>
      <c r="S270" s="19">
        <f t="shared" si="52"/>
        <v>3872.5</v>
      </c>
      <c r="T270" s="19">
        <f t="shared" si="53"/>
        <v>23497.5</v>
      </c>
      <c r="U270" s="22" t="s">
        <v>36</v>
      </c>
    </row>
    <row r="271" spans="1:21" ht="15.75" customHeight="1">
      <c r="A271" s="17">
        <v>256</v>
      </c>
      <c r="B271" s="21" t="s">
        <v>345</v>
      </c>
      <c r="C271" s="21" t="s">
        <v>57</v>
      </c>
      <c r="D271" s="21" t="s">
        <v>58</v>
      </c>
      <c r="E271" s="22" t="s">
        <v>29</v>
      </c>
      <c r="F271" s="19">
        <v>10000</v>
      </c>
      <c r="G271" s="20">
        <v>0</v>
      </c>
      <c r="H271" s="20">
        <v>25</v>
      </c>
      <c r="I271" s="20">
        <v>0</v>
      </c>
      <c r="J271" s="20">
        <f>500+1000+1653.26</f>
        <v>3153.26</v>
      </c>
      <c r="K271" s="20">
        <f t="shared" ref="K271:K335" si="54">F271*2.87%</f>
        <v>287</v>
      </c>
      <c r="L271" s="20">
        <f t="shared" ref="L271:L335" si="55">F271*7.1%</f>
        <v>709.99999999999989</v>
      </c>
      <c r="M271" s="20">
        <v>130</v>
      </c>
      <c r="N271" s="20">
        <v>304</v>
      </c>
      <c r="O271" s="20">
        <v>709</v>
      </c>
      <c r="P271" s="20">
        <v>0</v>
      </c>
      <c r="Q271" s="19">
        <f t="shared" ref="Q271:Q335" si="56">K271+N271</f>
        <v>591</v>
      </c>
      <c r="R271" s="19">
        <f t="shared" ref="R271:R335" si="57">G271+H271+I271+J271+K271+N271+P271</f>
        <v>3769.26</v>
      </c>
      <c r="S271" s="19">
        <f t="shared" ref="S271:S335" si="58">L271+M271+O271</f>
        <v>1549</v>
      </c>
      <c r="T271" s="19">
        <f t="shared" ref="T271:T335" si="59">F271-R271</f>
        <v>6230.74</v>
      </c>
      <c r="U271" s="22" t="s">
        <v>36</v>
      </c>
    </row>
    <row r="272" spans="1:21" ht="15.75" customHeight="1">
      <c r="A272" s="21">
        <v>257</v>
      </c>
      <c r="B272" s="21" t="s">
        <v>346</v>
      </c>
      <c r="C272" s="21" t="s">
        <v>66</v>
      </c>
      <c r="D272" s="21" t="s">
        <v>61</v>
      </c>
      <c r="E272" s="22" t="s">
        <v>29</v>
      </c>
      <c r="F272" s="19">
        <v>25000</v>
      </c>
      <c r="G272" s="20">
        <v>0</v>
      </c>
      <c r="H272" s="20">
        <v>25</v>
      </c>
      <c r="I272" s="20">
        <v>0</v>
      </c>
      <c r="J272" s="20">
        <v>0</v>
      </c>
      <c r="K272" s="20">
        <f t="shared" si="54"/>
        <v>717.5</v>
      </c>
      <c r="L272" s="20">
        <f t="shared" si="55"/>
        <v>1774.9999999999998</v>
      </c>
      <c r="M272" s="20">
        <v>325</v>
      </c>
      <c r="N272" s="20">
        <v>760</v>
      </c>
      <c r="O272" s="20">
        <v>1772.5000000000002</v>
      </c>
      <c r="P272" s="20">
        <v>0</v>
      </c>
      <c r="Q272" s="19">
        <f t="shared" si="56"/>
        <v>1477.5</v>
      </c>
      <c r="R272" s="19">
        <f t="shared" si="57"/>
        <v>1502.5</v>
      </c>
      <c r="S272" s="19">
        <f t="shared" si="58"/>
        <v>3872.5</v>
      </c>
      <c r="T272" s="19">
        <f t="shared" si="59"/>
        <v>23497.5</v>
      </c>
      <c r="U272" s="22" t="s">
        <v>36</v>
      </c>
    </row>
    <row r="273" spans="1:21" ht="15.75" customHeight="1">
      <c r="A273" s="21">
        <v>258</v>
      </c>
      <c r="B273" s="21" t="s">
        <v>347</v>
      </c>
      <c r="C273" s="21" t="s">
        <v>68</v>
      </c>
      <c r="D273" s="21" t="s">
        <v>348</v>
      </c>
      <c r="E273" s="22" t="s">
        <v>29</v>
      </c>
      <c r="F273" s="19">
        <v>15000</v>
      </c>
      <c r="G273" s="20">
        <v>0</v>
      </c>
      <c r="H273" s="20">
        <v>25</v>
      </c>
      <c r="I273" s="20">
        <v>0</v>
      </c>
      <c r="J273" s="20">
        <v>0</v>
      </c>
      <c r="K273" s="20">
        <f t="shared" si="54"/>
        <v>430.5</v>
      </c>
      <c r="L273" s="20">
        <f t="shared" si="55"/>
        <v>1065</v>
      </c>
      <c r="M273" s="20">
        <v>195</v>
      </c>
      <c r="N273" s="20">
        <v>456</v>
      </c>
      <c r="O273" s="20">
        <v>1063.5</v>
      </c>
      <c r="P273" s="20">
        <v>0</v>
      </c>
      <c r="Q273" s="19">
        <f t="shared" si="56"/>
        <v>886.5</v>
      </c>
      <c r="R273" s="19">
        <f t="shared" si="57"/>
        <v>911.5</v>
      </c>
      <c r="S273" s="19">
        <f t="shared" si="58"/>
        <v>2323.5</v>
      </c>
      <c r="T273" s="19">
        <f t="shared" si="59"/>
        <v>14088.5</v>
      </c>
      <c r="U273" s="22" t="s">
        <v>36</v>
      </c>
    </row>
    <row r="274" spans="1:21" ht="15.75" customHeight="1">
      <c r="A274" s="17">
        <v>259</v>
      </c>
      <c r="B274" s="21" t="s">
        <v>349</v>
      </c>
      <c r="C274" s="21" t="s">
        <v>157</v>
      </c>
      <c r="D274" s="21" t="s">
        <v>98</v>
      </c>
      <c r="E274" s="22" t="s">
        <v>29</v>
      </c>
      <c r="F274" s="19">
        <v>20000</v>
      </c>
      <c r="G274" s="20">
        <v>0</v>
      </c>
      <c r="H274" s="20">
        <v>25</v>
      </c>
      <c r="I274" s="20">
        <v>0</v>
      </c>
      <c r="J274" s="20">
        <f>700+300+2623.77</f>
        <v>3623.77</v>
      </c>
      <c r="K274" s="20">
        <f t="shared" si="54"/>
        <v>574</v>
      </c>
      <c r="L274" s="20">
        <f t="shared" si="55"/>
        <v>1419.9999999999998</v>
      </c>
      <c r="M274" s="20">
        <v>260</v>
      </c>
      <c r="N274" s="20">
        <v>608</v>
      </c>
      <c r="O274" s="20">
        <v>1418</v>
      </c>
      <c r="P274" s="20">
        <v>0</v>
      </c>
      <c r="Q274" s="19">
        <f t="shared" si="56"/>
        <v>1182</v>
      </c>
      <c r="R274" s="19">
        <f t="shared" si="57"/>
        <v>4830.7700000000004</v>
      </c>
      <c r="S274" s="19">
        <f t="shared" si="58"/>
        <v>3098</v>
      </c>
      <c r="T274" s="19">
        <f t="shared" si="59"/>
        <v>15169.23</v>
      </c>
      <c r="U274" s="22" t="s">
        <v>30</v>
      </c>
    </row>
    <row r="275" spans="1:21" ht="15.75" customHeight="1">
      <c r="A275" s="21">
        <v>260</v>
      </c>
      <c r="B275" s="21" t="s">
        <v>350</v>
      </c>
      <c r="C275" s="21" t="s">
        <v>57</v>
      </c>
      <c r="D275" s="21" t="s">
        <v>72</v>
      </c>
      <c r="E275" s="22" t="s">
        <v>29</v>
      </c>
      <c r="F275" s="19">
        <v>15000</v>
      </c>
      <c r="G275" s="20">
        <v>0</v>
      </c>
      <c r="H275" s="20">
        <v>25</v>
      </c>
      <c r="I275" s="20">
        <v>0</v>
      </c>
      <c r="J275" s="20">
        <f>1000+300</f>
        <v>1300</v>
      </c>
      <c r="K275" s="20">
        <f t="shared" si="54"/>
        <v>430.5</v>
      </c>
      <c r="L275" s="20">
        <f t="shared" si="55"/>
        <v>1065</v>
      </c>
      <c r="M275" s="20">
        <v>195</v>
      </c>
      <c r="N275" s="20">
        <v>456</v>
      </c>
      <c r="O275" s="20">
        <v>1063.5</v>
      </c>
      <c r="P275" s="20">
        <v>0</v>
      </c>
      <c r="Q275" s="19">
        <f t="shared" si="56"/>
        <v>886.5</v>
      </c>
      <c r="R275" s="19">
        <f t="shared" si="57"/>
        <v>2211.5</v>
      </c>
      <c r="S275" s="19">
        <f t="shared" si="58"/>
        <v>2323.5</v>
      </c>
      <c r="T275" s="19">
        <f t="shared" si="59"/>
        <v>12788.5</v>
      </c>
      <c r="U275" s="22" t="s">
        <v>36</v>
      </c>
    </row>
    <row r="276" spans="1:21" ht="15.75" customHeight="1">
      <c r="A276" s="21">
        <v>261</v>
      </c>
      <c r="B276" s="21" t="s">
        <v>351</v>
      </c>
      <c r="C276" s="21" t="s">
        <v>63</v>
      </c>
      <c r="D276" s="21" t="s">
        <v>98</v>
      </c>
      <c r="E276" s="22" t="s">
        <v>29</v>
      </c>
      <c r="F276" s="19">
        <v>25000</v>
      </c>
      <c r="G276" s="20">
        <v>0</v>
      </c>
      <c r="H276" s="20">
        <v>25</v>
      </c>
      <c r="I276" s="20">
        <v>0</v>
      </c>
      <c r="J276" s="20">
        <f>300+1000+1712.52</f>
        <v>3012.52</v>
      </c>
      <c r="K276" s="20">
        <f t="shared" si="54"/>
        <v>717.5</v>
      </c>
      <c r="L276" s="20">
        <f t="shared" si="55"/>
        <v>1774.9999999999998</v>
      </c>
      <c r="M276" s="20">
        <v>325</v>
      </c>
      <c r="N276" s="20">
        <v>760</v>
      </c>
      <c r="O276" s="20">
        <v>1772.5000000000002</v>
      </c>
      <c r="P276" s="20">
        <v>1587.38</v>
      </c>
      <c r="Q276" s="19">
        <f t="shared" si="56"/>
        <v>1477.5</v>
      </c>
      <c r="R276" s="19">
        <f t="shared" si="57"/>
        <v>6102.4000000000005</v>
      </c>
      <c r="S276" s="19">
        <f t="shared" si="58"/>
        <v>3872.5</v>
      </c>
      <c r="T276" s="19">
        <f t="shared" si="59"/>
        <v>18897.599999999999</v>
      </c>
      <c r="U276" s="22" t="s">
        <v>30</v>
      </c>
    </row>
    <row r="277" spans="1:21" ht="15.75" customHeight="1">
      <c r="A277" s="17">
        <v>262</v>
      </c>
      <c r="B277" s="21" t="s">
        <v>352</v>
      </c>
      <c r="C277" s="21" t="s">
        <v>60</v>
      </c>
      <c r="D277" s="21" t="s">
        <v>72</v>
      </c>
      <c r="E277" s="22" t="s">
        <v>29</v>
      </c>
      <c r="F277" s="19">
        <v>25000</v>
      </c>
      <c r="G277" s="20">
        <v>0</v>
      </c>
      <c r="H277" s="20">
        <v>25</v>
      </c>
      <c r="I277" s="20">
        <v>0</v>
      </c>
      <c r="J277" s="20">
        <v>0</v>
      </c>
      <c r="K277" s="20">
        <f t="shared" si="54"/>
        <v>717.5</v>
      </c>
      <c r="L277" s="20">
        <f t="shared" si="55"/>
        <v>1774.9999999999998</v>
      </c>
      <c r="M277" s="20">
        <v>325</v>
      </c>
      <c r="N277" s="20">
        <v>760</v>
      </c>
      <c r="O277" s="20">
        <v>1772.5000000000002</v>
      </c>
      <c r="P277" s="20">
        <v>0</v>
      </c>
      <c r="Q277" s="19">
        <f t="shared" si="56"/>
        <v>1477.5</v>
      </c>
      <c r="R277" s="19">
        <f t="shared" si="57"/>
        <v>1502.5</v>
      </c>
      <c r="S277" s="19">
        <f t="shared" si="58"/>
        <v>3872.5</v>
      </c>
      <c r="T277" s="19">
        <f t="shared" si="59"/>
        <v>23497.5</v>
      </c>
      <c r="U277" s="22" t="s">
        <v>30</v>
      </c>
    </row>
    <row r="278" spans="1:21" ht="15.75" customHeight="1">
      <c r="A278" s="21">
        <v>263</v>
      </c>
      <c r="B278" s="21" t="s">
        <v>353</v>
      </c>
      <c r="C278" s="21" t="s">
        <v>157</v>
      </c>
      <c r="D278" s="21" t="s">
        <v>98</v>
      </c>
      <c r="E278" s="22" t="s">
        <v>29</v>
      </c>
      <c r="F278" s="19">
        <v>20000</v>
      </c>
      <c r="G278" s="20">
        <v>0</v>
      </c>
      <c r="H278" s="20">
        <v>25</v>
      </c>
      <c r="I278" s="20">
        <v>0</v>
      </c>
      <c r="J278" s="20">
        <v>0</v>
      </c>
      <c r="K278" s="20">
        <f t="shared" si="54"/>
        <v>574</v>
      </c>
      <c r="L278" s="20">
        <f t="shared" si="55"/>
        <v>1419.9999999999998</v>
      </c>
      <c r="M278" s="20">
        <v>260</v>
      </c>
      <c r="N278" s="20">
        <v>608</v>
      </c>
      <c r="O278" s="20">
        <v>1418</v>
      </c>
      <c r="P278" s="20">
        <v>0</v>
      </c>
      <c r="Q278" s="19">
        <f t="shared" si="56"/>
        <v>1182</v>
      </c>
      <c r="R278" s="19">
        <f t="shared" si="57"/>
        <v>1207</v>
      </c>
      <c r="S278" s="19">
        <f t="shared" si="58"/>
        <v>3098</v>
      </c>
      <c r="T278" s="19">
        <f t="shared" si="59"/>
        <v>18793</v>
      </c>
      <c r="U278" s="22" t="s">
        <v>30</v>
      </c>
    </row>
    <row r="279" spans="1:21" ht="15.75" customHeight="1">
      <c r="A279" s="21">
        <v>264</v>
      </c>
      <c r="B279" s="21" t="s">
        <v>354</v>
      </c>
      <c r="C279" s="21" t="s">
        <v>355</v>
      </c>
      <c r="D279" s="21" t="s">
        <v>78</v>
      </c>
      <c r="E279" s="22" t="s">
        <v>29</v>
      </c>
      <c r="F279" s="19">
        <v>10000</v>
      </c>
      <c r="G279" s="20">
        <v>0</v>
      </c>
      <c r="H279" s="20">
        <v>25</v>
      </c>
      <c r="I279" s="20">
        <v>0</v>
      </c>
      <c r="J279" s="20">
        <v>0</v>
      </c>
      <c r="K279" s="20">
        <f t="shared" si="54"/>
        <v>287</v>
      </c>
      <c r="L279" s="20">
        <f t="shared" si="55"/>
        <v>709.99999999999989</v>
      </c>
      <c r="M279" s="20">
        <v>130</v>
      </c>
      <c r="N279" s="20">
        <v>304</v>
      </c>
      <c r="O279" s="20">
        <v>709</v>
      </c>
      <c r="P279" s="20">
        <v>0</v>
      </c>
      <c r="Q279" s="19">
        <f t="shared" si="56"/>
        <v>591</v>
      </c>
      <c r="R279" s="19">
        <f t="shared" si="57"/>
        <v>616</v>
      </c>
      <c r="S279" s="19">
        <f t="shared" si="58"/>
        <v>1549</v>
      </c>
      <c r="T279" s="19">
        <f t="shared" si="59"/>
        <v>9384</v>
      </c>
      <c r="U279" s="22" t="s">
        <v>30</v>
      </c>
    </row>
    <row r="280" spans="1:21" ht="15.75" customHeight="1">
      <c r="A280" s="17">
        <v>265</v>
      </c>
      <c r="B280" s="21" t="s">
        <v>356</v>
      </c>
      <c r="C280" s="21" t="s">
        <v>196</v>
      </c>
      <c r="D280" s="21" t="s">
        <v>72</v>
      </c>
      <c r="E280" s="22" t="s">
        <v>29</v>
      </c>
      <c r="F280" s="19">
        <v>25000</v>
      </c>
      <c r="G280" s="20">
        <v>0</v>
      </c>
      <c r="H280" s="20">
        <v>25</v>
      </c>
      <c r="I280" s="20">
        <v>0</v>
      </c>
      <c r="J280" s="20">
        <f>1500+1000+1085.77</f>
        <v>3585.77</v>
      </c>
      <c r="K280" s="20">
        <f t="shared" si="54"/>
        <v>717.5</v>
      </c>
      <c r="L280" s="20">
        <f t="shared" si="55"/>
        <v>1774.9999999999998</v>
      </c>
      <c r="M280" s="20">
        <v>325</v>
      </c>
      <c r="N280" s="20">
        <v>760</v>
      </c>
      <c r="O280" s="20">
        <v>1772.5000000000002</v>
      </c>
      <c r="P280" s="20">
        <v>0</v>
      </c>
      <c r="Q280" s="19">
        <f t="shared" si="56"/>
        <v>1477.5</v>
      </c>
      <c r="R280" s="19">
        <f t="shared" si="57"/>
        <v>5088.2700000000004</v>
      </c>
      <c r="S280" s="19">
        <f t="shared" si="58"/>
        <v>3872.5</v>
      </c>
      <c r="T280" s="19">
        <f t="shared" si="59"/>
        <v>19911.73</v>
      </c>
      <c r="U280" s="22" t="s">
        <v>30</v>
      </c>
    </row>
    <row r="281" spans="1:21" ht="15.75" customHeight="1">
      <c r="A281" s="21">
        <v>266</v>
      </c>
      <c r="B281" s="21" t="s">
        <v>357</v>
      </c>
      <c r="C281" s="21" t="s">
        <v>63</v>
      </c>
      <c r="D281" s="21" t="s">
        <v>98</v>
      </c>
      <c r="E281" s="22" t="s">
        <v>29</v>
      </c>
      <c r="F281" s="19">
        <v>20000</v>
      </c>
      <c r="G281" s="20">
        <v>0</v>
      </c>
      <c r="H281" s="20">
        <v>25</v>
      </c>
      <c r="I281" s="20">
        <v>0</v>
      </c>
      <c r="J281" s="20">
        <f>700+300+6220.97+2798.25</f>
        <v>10019.220000000001</v>
      </c>
      <c r="K281" s="20">
        <f t="shared" si="54"/>
        <v>574</v>
      </c>
      <c r="L281" s="20">
        <f t="shared" si="55"/>
        <v>1419.9999999999998</v>
      </c>
      <c r="M281" s="20">
        <v>260</v>
      </c>
      <c r="N281" s="20">
        <v>608</v>
      </c>
      <c r="O281" s="20">
        <v>1418</v>
      </c>
      <c r="P281" s="20">
        <v>0</v>
      </c>
      <c r="Q281" s="19">
        <f t="shared" si="56"/>
        <v>1182</v>
      </c>
      <c r="R281" s="19">
        <f t="shared" si="57"/>
        <v>11226.220000000001</v>
      </c>
      <c r="S281" s="19">
        <f t="shared" si="58"/>
        <v>3098</v>
      </c>
      <c r="T281" s="19">
        <f t="shared" si="59"/>
        <v>8773.7799999999988</v>
      </c>
      <c r="U281" s="22" t="s">
        <v>30</v>
      </c>
    </row>
    <row r="282" spans="1:21" ht="15.75" customHeight="1">
      <c r="A282" s="21">
        <v>267</v>
      </c>
      <c r="B282" s="21" t="s">
        <v>358</v>
      </c>
      <c r="C282" s="21" t="s">
        <v>57</v>
      </c>
      <c r="D282" s="21" t="s">
        <v>58</v>
      </c>
      <c r="E282" s="22" t="s">
        <v>29</v>
      </c>
      <c r="F282" s="19">
        <v>10000</v>
      </c>
      <c r="G282" s="20">
        <v>0</v>
      </c>
      <c r="H282" s="20">
        <v>25</v>
      </c>
      <c r="I282" s="20">
        <v>0</v>
      </c>
      <c r="J282" s="20">
        <v>0</v>
      </c>
      <c r="K282" s="20">
        <f t="shared" si="54"/>
        <v>287</v>
      </c>
      <c r="L282" s="20">
        <f t="shared" si="55"/>
        <v>709.99999999999989</v>
      </c>
      <c r="M282" s="20">
        <v>130</v>
      </c>
      <c r="N282" s="20">
        <v>304</v>
      </c>
      <c r="O282" s="20">
        <v>709</v>
      </c>
      <c r="P282" s="20">
        <v>0</v>
      </c>
      <c r="Q282" s="19">
        <f t="shared" si="56"/>
        <v>591</v>
      </c>
      <c r="R282" s="19">
        <f t="shared" si="57"/>
        <v>616</v>
      </c>
      <c r="S282" s="19">
        <f t="shared" si="58"/>
        <v>1549</v>
      </c>
      <c r="T282" s="19">
        <f t="shared" si="59"/>
        <v>9384</v>
      </c>
      <c r="U282" s="22" t="s">
        <v>30</v>
      </c>
    </row>
    <row r="283" spans="1:21" ht="15.75" customHeight="1">
      <c r="A283" s="17">
        <v>268</v>
      </c>
      <c r="B283" s="21" t="s">
        <v>359</v>
      </c>
      <c r="C283" s="21" t="s">
        <v>196</v>
      </c>
      <c r="D283" s="21" t="s">
        <v>72</v>
      </c>
      <c r="E283" s="22" t="s">
        <v>29</v>
      </c>
      <c r="F283" s="19">
        <v>20000</v>
      </c>
      <c r="G283" s="20">
        <v>0</v>
      </c>
      <c r="H283" s="20">
        <v>25</v>
      </c>
      <c r="I283" s="20">
        <v>0</v>
      </c>
      <c r="J283" s="20">
        <f>700+1000+2389.5</f>
        <v>4089.5</v>
      </c>
      <c r="K283" s="20">
        <f t="shared" si="54"/>
        <v>574</v>
      </c>
      <c r="L283" s="20">
        <f t="shared" si="55"/>
        <v>1419.9999999999998</v>
      </c>
      <c r="M283" s="20">
        <v>260</v>
      </c>
      <c r="N283" s="20">
        <v>608</v>
      </c>
      <c r="O283" s="20">
        <v>1418</v>
      </c>
      <c r="P283" s="20">
        <v>0</v>
      </c>
      <c r="Q283" s="19">
        <f t="shared" si="56"/>
        <v>1182</v>
      </c>
      <c r="R283" s="19">
        <f t="shared" si="57"/>
        <v>5296.5</v>
      </c>
      <c r="S283" s="19">
        <f t="shared" si="58"/>
        <v>3098</v>
      </c>
      <c r="T283" s="19">
        <f t="shared" si="59"/>
        <v>14703.5</v>
      </c>
      <c r="U283" s="22" t="s">
        <v>30</v>
      </c>
    </row>
    <row r="284" spans="1:21" ht="15.75" customHeight="1">
      <c r="A284" s="21">
        <v>269</v>
      </c>
      <c r="B284" s="21" t="s">
        <v>360</v>
      </c>
      <c r="C284" s="21" t="s">
        <v>88</v>
      </c>
      <c r="D284" s="21" t="s">
        <v>58</v>
      </c>
      <c r="E284" s="22" t="s">
        <v>29</v>
      </c>
      <c r="F284" s="19">
        <v>15000</v>
      </c>
      <c r="G284" s="20">
        <v>0</v>
      </c>
      <c r="H284" s="20">
        <v>25</v>
      </c>
      <c r="I284" s="20">
        <v>0</v>
      </c>
      <c r="J284" s="20">
        <f>1000+300+2163.09</f>
        <v>3463.09</v>
      </c>
      <c r="K284" s="20">
        <f t="shared" si="54"/>
        <v>430.5</v>
      </c>
      <c r="L284" s="20">
        <f t="shared" si="55"/>
        <v>1065</v>
      </c>
      <c r="M284" s="20">
        <v>195</v>
      </c>
      <c r="N284" s="20">
        <v>456</v>
      </c>
      <c r="O284" s="20">
        <v>1063.5</v>
      </c>
      <c r="P284" s="20">
        <v>0</v>
      </c>
      <c r="Q284" s="19">
        <f t="shared" si="56"/>
        <v>886.5</v>
      </c>
      <c r="R284" s="19">
        <f t="shared" si="57"/>
        <v>4374.59</v>
      </c>
      <c r="S284" s="19">
        <f t="shared" si="58"/>
        <v>2323.5</v>
      </c>
      <c r="T284" s="19">
        <f t="shared" si="59"/>
        <v>10625.41</v>
      </c>
      <c r="U284" s="22" t="s">
        <v>30</v>
      </c>
    </row>
    <row r="285" spans="1:21" ht="15.75" customHeight="1">
      <c r="A285" s="21">
        <v>270</v>
      </c>
      <c r="B285" s="21" t="s">
        <v>361</v>
      </c>
      <c r="C285" s="21" t="s">
        <v>196</v>
      </c>
      <c r="D285" s="21" t="s">
        <v>72</v>
      </c>
      <c r="E285" s="22" t="s">
        <v>29</v>
      </c>
      <c r="F285" s="19">
        <v>25000</v>
      </c>
      <c r="G285" s="20">
        <v>0</v>
      </c>
      <c r="H285" s="20">
        <v>25</v>
      </c>
      <c r="I285" s="20">
        <v>0</v>
      </c>
      <c r="J285" s="20">
        <v>0</v>
      </c>
      <c r="K285" s="20">
        <f t="shared" si="54"/>
        <v>717.5</v>
      </c>
      <c r="L285" s="20">
        <f t="shared" si="55"/>
        <v>1774.9999999999998</v>
      </c>
      <c r="M285" s="20">
        <v>325</v>
      </c>
      <c r="N285" s="20">
        <v>760</v>
      </c>
      <c r="O285" s="20">
        <v>1772.5000000000002</v>
      </c>
      <c r="P285" s="20">
        <v>0</v>
      </c>
      <c r="Q285" s="19">
        <f t="shared" si="56"/>
        <v>1477.5</v>
      </c>
      <c r="R285" s="19">
        <f t="shared" si="57"/>
        <v>1502.5</v>
      </c>
      <c r="S285" s="19">
        <f t="shared" si="58"/>
        <v>3872.5</v>
      </c>
      <c r="T285" s="19">
        <f t="shared" si="59"/>
        <v>23497.5</v>
      </c>
      <c r="U285" s="22" t="s">
        <v>30</v>
      </c>
    </row>
    <row r="286" spans="1:21" ht="15.75" customHeight="1">
      <c r="A286" s="17">
        <v>271</v>
      </c>
      <c r="B286" s="21" t="s">
        <v>362</v>
      </c>
      <c r="C286" s="21" t="s">
        <v>88</v>
      </c>
      <c r="D286" s="21" t="s">
        <v>61</v>
      </c>
      <c r="E286" s="22" t="s">
        <v>29</v>
      </c>
      <c r="F286" s="19">
        <v>15000</v>
      </c>
      <c r="G286" s="20">
        <v>0</v>
      </c>
      <c r="H286" s="20">
        <v>25</v>
      </c>
      <c r="I286" s="20">
        <v>0</v>
      </c>
      <c r="J286" s="20">
        <v>0</v>
      </c>
      <c r="K286" s="20">
        <f t="shared" si="54"/>
        <v>430.5</v>
      </c>
      <c r="L286" s="20">
        <f t="shared" si="55"/>
        <v>1065</v>
      </c>
      <c r="M286" s="20">
        <v>195</v>
      </c>
      <c r="N286" s="20">
        <v>456</v>
      </c>
      <c r="O286" s="20">
        <v>1063.5</v>
      </c>
      <c r="P286" s="20">
        <v>0</v>
      </c>
      <c r="Q286" s="19">
        <f t="shared" si="56"/>
        <v>886.5</v>
      </c>
      <c r="R286" s="19">
        <f t="shared" si="57"/>
        <v>911.5</v>
      </c>
      <c r="S286" s="19">
        <f t="shared" si="58"/>
        <v>2323.5</v>
      </c>
      <c r="T286" s="19">
        <f t="shared" si="59"/>
        <v>14088.5</v>
      </c>
      <c r="U286" s="22" t="s">
        <v>30</v>
      </c>
    </row>
    <row r="287" spans="1:21" ht="15.75" customHeight="1">
      <c r="A287" s="21">
        <v>272</v>
      </c>
      <c r="B287" s="21" t="s">
        <v>363</v>
      </c>
      <c r="C287" s="21" t="s">
        <v>77</v>
      </c>
      <c r="D287" s="21" t="s">
        <v>61</v>
      </c>
      <c r="E287" s="22" t="s">
        <v>29</v>
      </c>
      <c r="F287" s="19">
        <v>15000</v>
      </c>
      <c r="G287" s="20">
        <v>0</v>
      </c>
      <c r="H287" s="20">
        <v>25</v>
      </c>
      <c r="I287" s="20">
        <v>0</v>
      </c>
      <c r="J287" s="20">
        <v>0</v>
      </c>
      <c r="K287" s="20">
        <f t="shared" si="54"/>
        <v>430.5</v>
      </c>
      <c r="L287" s="20">
        <f t="shared" si="55"/>
        <v>1065</v>
      </c>
      <c r="M287" s="20">
        <v>195</v>
      </c>
      <c r="N287" s="20">
        <v>456</v>
      </c>
      <c r="O287" s="20">
        <v>1063.5</v>
      </c>
      <c r="P287" s="20">
        <v>0</v>
      </c>
      <c r="Q287" s="19">
        <f t="shared" si="56"/>
        <v>886.5</v>
      </c>
      <c r="R287" s="19">
        <f t="shared" si="57"/>
        <v>911.5</v>
      </c>
      <c r="S287" s="19">
        <f t="shared" si="58"/>
        <v>2323.5</v>
      </c>
      <c r="T287" s="19">
        <f t="shared" si="59"/>
        <v>14088.5</v>
      </c>
      <c r="U287" s="22" t="s">
        <v>30</v>
      </c>
    </row>
    <row r="288" spans="1:21" ht="15.75" customHeight="1">
      <c r="A288" s="21">
        <v>273</v>
      </c>
      <c r="B288" s="21" t="s">
        <v>364</v>
      </c>
      <c r="C288" s="21" t="s">
        <v>365</v>
      </c>
      <c r="D288" s="21" t="s">
        <v>58</v>
      </c>
      <c r="E288" s="22" t="s">
        <v>29</v>
      </c>
      <c r="F288" s="19">
        <v>16500</v>
      </c>
      <c r="G288" s="20">
        <v>0</v>
      </c>
      <c r="H288" s="20">
        <v>25</v>
      </c>
      <c r="I288" s="20">
        <v>0</v>
      </c>
      <c r="J288" s="20">
        <v>0</v>
      </c>
      <c r="K288" s="20">
        <f t="shared" si="54"/>
        <v>473.55</v>
      </c>
      <c r="L288" s="20">
        <f t="shared" si="55"/>
        <v>1171.5</v>
      </c>
      <c r="M288" s="20">
        <v>214.5</v>
      </c>
      <c r="N288" s="20">
        <v>501.6</v>
      </c>
      <c r="O288" s="20">
        <v>1169.8500000000001</v>
      </c>
      <c r="P288" s="19">
        <v>1587.38</v>
      </c>
      <c r="Q288" s="19">
        <f t="shared" si="56"/>
        <v>975.15000000000009</v>
      </c>
      <c r="R288" s="19">
        <f t="shared" si="57"/>
        <v>2587.5300000000002</v>
      </c>
      <c r="S288" s="19">
        <f t="shared" si="58"/>
        <v>2555.8500000000004</v>
      </c>
      <c r="T288" s="19">
        <f t="shared" si="59"/>
        <v>13912.47</v>
      </c>
      <c r="U288" s="22" t="s">
        <v>30</v>
      </c>
    </row>
    <row r="289" spans="1:21" ht="15.75" customHeight="1">
      <c r="A289" s="17">
        <v>274</v>
      </c>
      <c r="B289" s="21" t="s">
        <v>366</v>
      </c>
      <c r="C289" s="21" t="s">
        <v>88</v>
      </c>
      <c r="D289" s="21" t="s">
        <v>58</v>
      </c>
      <c r="E289" s="22" t="s">
        <v>29</v>
      </c>
      <c r="F289" s="19">
        <v>12000</v>
      </c>
      <c r="G289" s="20">
        <v>0</v>
      </c>
      <c r="H289" s="20">
        <v>25</v>
      </c>
      <c r="I289" s="20">
        <v>0</v>
      </c>
      <c r="J289" s="20">
        <v>0</v>
      </c>
      <c r="K289" s="20">
        <f t="shared" si="54"/>
        <v>344.4</v>
      </c>
      <c r="L289" s="20">
        <f t="shared" si="55"/>
        <v>851.99999999999989</v>
      </c>
      <c r="M289" s="20">
        <v>156</v>
      </c>
      <c r="N289" s="20">
        <v>364.8</v>
      </c>
      <c r="O289" s="20">
        <v>850.80000000000007</v>
      </c>
      <c r="P289" s="20">
        <v>0</v>
      </c>
      <c r="Q289" s="19">
        <f t="shared" si="56"/>
        <v>709.2</v>
      </c>
      <c r="R289" s="19">
        <f t="shared" si="57"/>
        <v>734.2</v>
      </c>
      <c r="S289" s="19">
        <f t="shared" si="58"/>
        <v>1858.8</v>
      </c>
      <c r="T289" s="19">
        <f t="shared" si="59"/>
        <v>11265.8</v>
      </c>
      <c r="U289" s="22" t="s">
        <v>30</v>
      </c>
    </row>
    <row r="290" spans="1:21" ht="15.75" customHeight="1">
      <c r="A290" s="21">
        <v>275</v>
      </c>
      <c r="B290" s="21" t="s">
        <v>367</v>
      </c>
      <c r="C290" s="21" t="s">
        <v>77</v>
      </c>
      <c r="D290" s="21" t="s">
        <v>78</v>
      </c>
      <c r="E290" s="22" t="s">
        <v>29</v>
      </c>
      <c r="F290" s="19">
        <v>11000</v>
      </c>
      <c r="G290" s="20">
        <v>0</v>
      </c>
      <c r="H290" s="20">
        <v>25</v>
      </c>
      <c r="I290" s="20">
        <v>0</v>
      </c>
      <c r="J290" s="20">
        <v>0</v>
      </c>
      <c r="K290" s="20">
        <f t="shared" si="54"/>
        <v>315.7</v>
      </c>
      <c r="L290" s="20">
        <f t="shared" si="55"/>
        <v>780.99999999999989</v>
      </c>
      <c r="M290" s="20">
        <v>143</v>
      </c>
      <c r="N290" s="20">
        <v>334.4</v>
      </c>
      <c r="O290" s="20">
        <v>779.90000000000009</v>
      </c>
      <c r="P290" s="20">
        <v>0</v>
      </c>
      <c r="Q290" s="19">
        <f t="shared" si="56"/>
        <v>650.09999999999991</v>
      </c>
      <c r="R290" s="19">
        <f t="shared" si="57"/>
        <v>675.09999999999991</v>
      </c>
      <c r="S290" s="19">
        <f t="shared" si="58"/>
        <v>1703.9</v>
      </c>
      <c r="T290" s="19">
        <f t="shared" si="59"/>
        <v>10324.9</v>
      </c>
      <c r="U290" s="22" t="s">
        <v>30</v>
      </c>
    </row>
    <row r="291" spans="1:21" ht="15.75" customHeight="1">
      <c r="A291" s="21">
        <v>276</v>
      </c>
      <c r="B291" s="21" t="s">
        <v>368</v>
      </c>
      <c r="C291" s="21" t="s">
        <v>77</v>
      </c>
      <c r="D291" s="21" t="s">
        <v>61</v>
      </c>
      <c r="E291" s="22" t="s">
        <v>29</v>
      </c>
      <c r="F291" s="19">
        <v>15000</v>
      </c>
      <c r="G291" s="20">
        <v>0</v>
      </c>
      <c r="H291" s="20">
        <v>25</v>
      </c>
      <c r="I291" s="20">
        <v>0</v>
      </c>
      <c r="J291" s="20">
        <v>0</v>
      </c>
      <c r="K291" s="20">
        <f t="shared" si="54"/>
        <v>430.5</v>
      </c>
      <c r="L291" s="20">
        <f t="shared" si="55"/>
        <v>1065</v>
      </c>
      <c r="M291" s="20">
        <v>195</v>
      </c>
      <c r="N291" s="20">
        <v>456</v>
      </c>
      <c r="O291" s="20">
        <v>1063.5</v>
      </c>
      <c r="P291" s="20">
        <v>0</v>
      </c>
      <c r="Q291" s="19">
        <f t="shared" si="56"/>
        <v>886.5</v>
      </c>
      <c r="R291" s="19">
        <f t="shared" si="57"/>
        <v>911.5</v>
      </c>
      <c r="S291" s="19">
        <f t="shared" si="58"/>
        <v>2323.5</v>
      </c>
      <c r="T291" s="19">
        <f t="shared" si="59"/>
        <v>14088.5</v>
      </c>
      <c r="U291" s="22" t="s">
        <v>30</v>
      </c>
    </row>
    <row r="292" spans="1:21" ht="15.75" customHeight="1">
      <c r="A292" s="17">
        <v>277</v>
      </c>
      <c r="B292" s="21" t="s">
        <v>369</v>
      </c>
      <c r="C292" s="21" t="s">
        <v>77</v>
      </c>
      <c r="D292" s="21" t="s">
        <v>78</v>
      </c>
      <c r="E292" s="22" t="s">
        <v>29</v>
      </c>
      <c r="F292" s="19">
        <v>11000</v>
      </c>
      <c r="G292" s="20">
        <v>0</v>
      </c>
      <c r="H292" s="20">
        <v>25</v>
      </c>
      <c r="I292" s="20">
        <v>0</v>
      </c>
      <c r="J292" s="20">
        <v>0</v>
      </c>
      <c r="K292" s="20">
        <f t="shared" si="54"/>
        <v>315.7</v>
      </c>
      <c r="L292" s="20">
        <f t="shared" si="55"/>
        <v>780.99999999999989</v>
      </c>
      <c r="M292" s="20">
        <v>143</v>
      </c>
      <c r="N292" s="20">
        <v>334.4</v>
      </c>
      <c r="O292" s="20">
        <v>779.90000000000009</v>
      </c>
      <c r="P292" s="20">
        <v>0</v>
      </c>
      <c r="Q292" s="19">
        <f t="shared" si="56"/>
        <v>650.09999999999991</v>
      </c>
      <c r="R292" s="19">
        <f t="shared" si="57"/>
        <v>675.09999999999991</v>
      </c>
      <c r="S292" s="19">
        <f t="shared" si="58"/>
        <v>1703.9</v>
      </c>
      <c r="T292" s="19">
        <f t="shared" si="59"/>
        <v>10324.9</v>
      </c>
      <c r="U292" s="22" t="s">
        <v>30</v>
      </c>
    </row>
    <row r="293" spans="1:21" ht="15.75" customHeight="1">
      <c r="A293" s="21">
        <v>278</v>
      </c>
      <c r="B293" s="21" t="s">
        <v>370</v>
      </c>
      <c r="C293" s="21" t="s">
        <v>57</v>
      </c>
      <c r="D293" s="21" t="s">
        <v>58</v>
      </c>
      <c r="E293" s="22" t="s">
        <v>29</v>
      </c>
      <c r="F293" s="19">
        <v>10000</v>
      </c>
      <c r="G293" s="20">
        <v>0</v>
      </c>
      <c r="H293" s="20">
        <v>25</v>
      </c>
      <c r="I293" s="20">
        <v>0</v>
      </c>
      <c r="J293" s="20">
        <v>0</v>
      </c>
      <c r="K293" s="20">
        <f t="shared" si="54"/>
        <v>287</v>
      </c>
      <c r="L293" s="20">
        <f t="shared" si="55"/>
        <v>709.99999999999989</v>
      </c>
      <c r="M293" s="20">
        <v>130</v>
      </c>
      <c r="N293" s="20">
        <v>304</v>
      </c>
      <c r="O293" s="20">
        <v>709</v>
      </c>
      <c r="P293" s="20">
        <v>0</v>
      </c>
      <c r="Q293" s="19">
        <f t="shared" si="56"/>
        <v>591</v>
      </c>
      <c r="R293" s="19">
        <f t="shared" si="57"/>
        <v>616</v>
      </c>
      <c r="S293" s="19">
        <f t="shared" si="58"/>
        <v>1549</v>
      </c>
      <c r="T293" s="19">
        <f t="shared" si="59"/>
        <v>9384</v>
      </c>
      <c r="U293" s="22" t="s">
        <v>30</v>
      </c>
    </row>
    <row r="294" spans="1:21" ht="15.75" customHeight="1">
      <c r="A294" s="21">
        <v>279</v>
      </c>
      <c r="B294" s="21" t="s">
        <v>371</v>
      </c>
      <c r="C294" s="21" t="s">
        <v>66</v>
      </c>
      <c r="D294" s="21" t="s">
        <v>72</v>
      </c>
      <c r="E294" s="22" t="s">
        <v>29</v>
      </c>
      <c r="F294" s="19">
        <v>20000</v>
      </c>
      <c r="G294" s="20">
        <v>0</v>
      </c>
      <c r="H294" s="20">
        <v>25</v>
      </c>
      <c r="I294" s="20">
        <v>0</v>
      </c>
      <c r="J294" s="20">
        <v>0</v>
      </c>
      <c r="K294" s="20">
        <f t="shared" si="54"/>
        <v>574</v>
      </c>
      <c r="L294" s="20">
        <f t="shared" si="55"/>
        <v>1419.9999999999998</v>
      </c>
      <c r="M294" s="20">
        <v>260</v>
      </c>
      <c r="N294" s="20">
        <v>608</v>
      </c>
      <c r="O294" s="20">
        <v>1418</v>
      </c>
      <c r="P294" s="20">
        <v>0</v>
      </c>
      <c r="Q294" s="19">
        <f t="shared" si="56"/>
        <v>1182</v>
      </c>
      <c r="R294" s="19">
        <f t="shared" si="57"/>
        <v>1207</v>
      </c>
      <c r="S294" s="19">
        <f t="shared" si="58"/>
        <v>3098</v>
      </c>
      <c r="T294" s="19">
        <f t="shared" si="59"/>
        <v>18793</v>
      </c>
      <c r="U294" s="22" t="s">
        <v>30</v>
      </c>
    </row>
    <row r="295" spans="1:21" ht="15.75" customHeight="1">
      <c r="A295" s="17">
        <v>280</v>
      </c>
      <c r="B295" s="21" t="s">
        <v>372</v>
      </c>
      <c r="C295" s="21" t="s">
        <v>60</v>
      </c>
      <c r="D295" s="21" t="s">
        <v>61</v>
      </c>
      <c r="E295" s="22" t="s">
        <v>29</v>
      </c>
      <c r="F295" s="19">
        <v>18000</v>
      </c>
      <c r="G295" s="20">
        <v>0</v>
      </c>
      <c r="H295" s="20">
        <v>25</v>
      </c>
      <c r="I295" s="20">
        <v>0</v>
      </c>
      <c r="J295" s="20">
        <v>0</v>
      </c>
      <c r="K295" s="20">
        <f t="shared" si="54"/>
        <v>516.6</v>
      </c>
      <c r="L295" s="20">
        <f t="shared" si="55"/>
        <v>1277.9999999999998</v>
      </c>
      <c r="M295" s="20">
        <v>234</v>
      </c>
      <c r="N295" s="20">
        <v>547.20000000000005</v>
      </c>
      <c r="O295" s="20">
        <v>1276.2</v>
      </c>
      <c r="P295" s="20">
        <v>1587.38</v>
      </c>
      <c r="Q295" s="19">
        <f t="shared" si="56"/>
        <v>1063.8000000000002</v>
      </c>
      <c r="R295" s="19">
        <f t="shared" si="57"/>
        <v>2676.1800000000003</v>
      </c>
      <c r="S295" s="19">
        <f t="shared" si="58"/>
        <v>2788.2</v>
      </c>
      <c r="T295" s="19">
        <f t="shared" si="59"/>
        <v>15323.82</v>
      </c>
      <c r="U295" s="22" t="s">
        <v>30</v>
      </c>
    </row>
    <row r="296" spans="1:21" ht="15.75" customHeight="1">
      <c r="A296" s="21">
        <v>281</v>
      </c>
      <c r="B296" s="21" t="s">
        <v>373</v>
      </c>
      <c r="C296" s="21" t="s">
        <v>63</v>
      </c>
      <c r="D296" s="21" t="s">
        <v>98</v>
      </c>
      <c r="E296" s="22" t="s">
        <v>29</v>
      </c>
      <c r="F296" s="19">
        <v>25000</v>
      </c>
      <c r="G296" s="20">
        <v>0</v>
      </c>
      <c r="H296" s="20">
        <v>25</v>
      </c>
      <c r="I296" s="20">
        <v>0</v>
      </c>
      <c r="J296" s="20">
        <f>1700+300+2720.94</f>
        <v>4720.9400000000005</v>
      </c>
      <c r="K296" s="20">
        <f t="shared" si="54"/>
        <v>717.5</v>
      </c>
      <c r="L296" s="20">
        <f t="shared" si="55"/>
        <v>1774.9999999999998</v>
      </c>
      <c r="M296" s="20">
        <v>325</v>
      </c>
      <c r="N296" s="20">
        <v>760</v>
      </c>
      <c r="O296" s="20">
        <v>1772.5000000000002</v>
      </c>
      <c r="P296" s="20">
        <v>0</v>
      </c>
      <c r="Q296" s="19">
        <f t="shared" si="56"/>
        <v>1477.5</v>
      </c>
      <c r="R296" s="19">
        <f t="shared" si="57"/>
        <v>6223.4400000000005</v>
      </c>
      <c r="S296" s="19">
        <f t="shared" si="58"/>
        <v>3872.5</v>
      </c>
      <c r="T296" s="19">
        <f t="shared" si="59"/>
        <v>18776.559999999998</v>
      </c>
      <c r="U296" s="22" t="s">
        <v>30</v>
      </c>
    </row>
    <row r="297" spans="1:21" ht="15.75" customHeight="1">
      <c r="A297" s="21">
        <v>282</v>
      </c>
      <c r="B297" s="21" t="s">
        <v>374</v>
      </c>
      <c r="C297" s="21" t="s">
        <v>375</v>
      </c>
      <c r="D297" s="21" t="s">
        <v>41</v>
      </c>
      <c r="E297" s="22" t="s">
        <v>29</v>
      </c>
      <c r="F297" s="19">
        <v>22800.48</v>
      </c>
      <c r="G297" s="20">
        <v>0</v>
      </c>
      <c r="H297" s="20">
        <v>25</v>
      </c>
      <c r="I297" s="20">
        <v>0</v>
      </c>
      <c r="J297" s="20">
        <f>1000+2516.18</f>
        <v>3516.18</v>
      </c>
      <c r="K297" s="20">
        <f t="shared" si="54"/>
        <v>654.37377600000002</v>
      </c>
      <c r="L297" s="20">
        <f t="shared" si="55"/>
        <v>1618.8340799999999</v>
      </c>
      <c r="M297" s="20">
        <v>296.41000000000003</v>
      </c>
      <c r="N297" s="20">
        <v>693.134592</v>
      </c>
      <c r="O297" s="20">
        <v>1616.554032</v>
      </c>
      <c r="P297" s="20">
        <v>0</v>
      </c>
      <c r="Q297" s="19">
        <f t="shared" si="56"/>
        <v>1347.508368</v>
      </c>
      <c r="R297" s="19">
        <f t="shared" si="57"/>
        <v>4888.6883680000001</v>
      </c>
      <c r="S297" s="19">
        <f t="shared" si="58"/>
        <v>3531.7981119999999</v>
      </c>
      <c r="T297" s="19">
        <f t="shared" si="59"/>
        <v>17911.791632</v>
      </c>
      <c r="U297" s="22" t="s">
        <v>30</v>
      </c>
    </row>
    <row r="298" spans="1:21" ht="15.75" customHeight="1">
      <c r="A298" s="17">
        <v>283</v>
      </c>
      <c r="B298" s="21" t="s">
        <v>376</v>
      </c>
      <c r="C298" s="21" t="s">
        <v>77</v>
      </c>
      <c r="D298" s="21" t="s">
        <v>78</v>
      </c>
      <c r="E298" s="22" t="s">
        <v>29</v>
      </c>
      <c r="F298" s="19">
        <v>10000</v>
      </c>
      <c r="G298" s="20">
        <v>0</v>
      </c>
      <c r="H298" s="20">
        <v>25</v>
      </c>
      <c r="I298" s="20">
        <v>0</v>
      </c>
      <c r="J298" s="20">
        <v>0</v>
      </c>
      <c r="K298" s="20">
        <f t="shared" si="54"/>
        <v>287</v>
      </c>
      <c r="L298" s="20">
        <f t="shared" si="55"/>
        <v>709.99999999999989</v>
      </c>
      <c r="M298" s="20">
        <v>130</v>
      </c>
      <c r="N298" s="20">
        <v>304</v>
      </c>
      <c r="O298" s="20">
        <v>709</v>
      </c>
      <c r="P298" s="20">
        <v>0</v>
      </c>
      <c r="Q298" s="19">
        <f t="shared" si="56"/>
        <v>591</v>
      </c>
      <c r="R298" s="19">
        <f t="shared" si="57"/>
        <v>616</v>
      </c>
      <c r="S298" s="19">
        <f t="shared" si="58"/>
        <v>1549</v>
      </c>
      <c r="T298" s="19">
        <f t="shared" si="59"/>
        <v>9384</v>
      </c>
      <c r="U298" s="22" t="s">
        <v>30</v>
      </c>
    </row>
    <row r="299" spans="1:21" ht="15.75" customHeight="1">
      <c r="A299" s="21">
        <v>284</v>
      </c>
      <c r="B299" s="21" t="s">
        <v>377</v>
      </c>
      <c r="C299" s="21" t="s">
        <v>60</v>
      </c>
      <c r="D299" s="21" t="s">
        <v>61</v>
      </c>
      <c r="E299" s="22" t="s">
        <v>29</v>
      </c>
      <c r="F299" s="19">
        <v>30000</v>
      </c>
      <c r="G299" s="20">
        <v>0</v>
      </c>
      <c r="H299" s="20">
        <v>25</v>
      </c>
      <c r="I299" s="20">
        <v>0</v>
      </c>
      <c r="J299" s="20">
        <v>0</v>
      </c>
      <c r="K299" s="20">
        <f t="shared" si="54"/>
        <v>861</v>
      </c>
      <c r="L299" s="20">
        <f t="shared" si="55"/>
        <v>2130</v>
      </c>
      <c r="M299" s="20">
        <v>390</v>
      </c>
      <c r="N299" s="20">
        <v>912</v>
      </c>
      <c r="O299" s="20">
        <v>2127</v>
      </c>
      <c r="P299" s="20">
        <v>0</v>
      </c>
      <c r="Q299" s="19">
        <f t="shared" si="56"/>
        <v>1773</v>
      </c>
      <c r="R299" s="19">
        <f t="shared" si="57"/>
        <v>1798</v>
      </c>
      <c r="S299" s="19">
        <f t="shared" si="58"/>
        <v>4647</v>
      </c>
      <c r="T299" s="19">
        <f t="shared" si="59"/>
        <v>28202</v>
      </c>
      <c r="U299" s="22" t="s">
        <v>30</v>
      </c>
    </row>
    <row r="300" spans="1:21" ht="15.75" customHeight="1">
      <c r="A300" s="21">
        <v>285</v>
      </c>
      <c r="B300" s="21" t="s">
        <v>378</v>
      </c>
      <c r="C300" s="21" t="s">
        <v>63</v>
      </c>
      <c r="D300" s="21" t="s">
        <v>98</v>
      </c>
      <c r="E300" s="22" t="s">
        <v>29</v>
      </c>
      <c r="F300" s="19">
        <v>20000</v>
      </c>
      <c r="G300" s="20">
        <v>0</v>
      </c>
      <c r="H300" s="20">
        <v>25</v>
      </c>
      <c r="I300" s="20">
        <v>0</v>
      </c>
      <c r="J300" s="20">
        <f>1000+3000+4577.75+279.5</f>
        <v>8857.25</v>
      </c>
      <c r="K300" s="20">
        <f t="shared" si="54"/>
        <v>574</v>
      </c>
      <c r="L300" s="20">
        <f t="shared" si="55"/>
        <v>1419.9999999999998</v>
      </c>
      <c r="M300" s="20">
        <v>260</v>
      </c>
      <c r="N300" s="20">
        <v>608</v>
      </c>
      <c r="O300" s="20">
        <v>1418</v>
      </c>
      <c r="P300" s="20">
        <v>0</v>
      </c>
      <c r="Q300" s="19">
        <f t="shared" si="56"/>
        <v>1182</v>
      </c>
      <c r="R300" s="19">
        <f t="shared" si="57"/>
        <v>10064.25</v>
      </c>
      <c r="S300" s="19">
        <f t="shared" si="58"/>
        <v>3098</v>
      </c>
      <c r="T300" s="19">
        <f t="shared" si="59"/>
        <v>9935.75</v>
      </c>
      <c r="U300" s="22" t="s">
        <v>30</v>
      </c>
    </row>
    <row r="301" spans="1:21" ht="15.75" customHeight="1">
      <c r="A301" s="17">
        <v>286</v>
      </c>
      <c r="B301" s="21" t="s">
        <v>379</v>
      </c>
      <c r="C301" s="21" t="s">
        <v>77</v>
      </c>
      <c r="D301" s="21" t="s">
        <v>61</v>
      </c>
      <c r="E301" s="22" t="s">
        <v>29</v>
      </c>
      <c r="F301" s="19">
        <v>10000</v>
      </c>
      <c r="G301" s="20">
        <v>0</v>
      </c>
      <c r="H301" s="20">
        <v>25</v>
      </c>
      <c r="I301" s="20">
        <v>0</v>
      </c>
      <c r="J301" s="20">
        <v>0</v>
      </c>
      <c r="K301" s="20">
        <f t="shared" si="54"/>
        <v>287</v>
      </c>
      <c r="L301" s="20">
        <f t="shared" si="55"/>
        <v>709.99999999999989</v>
      </c>
      <c r="M301" s="20">
        <v>130</v>
      </c>
      <c r="N301" s="20">
        <v>304</v>
      </c>
      <c r="O301" s="20">
        <v>709</v>
      </c>
      <c r="P301" s="20">
        <v>0</v>
      </c>
      <c r="Q301" s="19">
        <f t="shared" si="56"/>
        <v>591</v>
      </c>
      <c r="R301" s="19">
        <f t="shared" si="57"/>
        <v>616</v>
      </c>
      <c r="S301" s="19">
        <f t="shared" si="58"/>
        <v>1549</v>
      </c>
      <c r="T301" s="19">
        <f t="shared" si="59"/>
        <v>9384</v>
      </c>
      <c r="U301" s="22" t="s">
        <v>30</v>
      </c>
    </row>
    <row r="302" spans="1:21" ht="15.75" customHeight="1">
      <c r="A302" s="21">
        <v>287</v>
      </c>
      <c r="B302" s="21" t="s">
        <v>380</v>
      </c>
      <c r="C302" s="21" t="s">
        <v>66</v>
      </c>
      <c r="D302" s="21" t="s">
        <v>58</v>
      </c>
      <c r="E302" s="22" t="s">
        <v>29</v>
      </c>
      <c r="F302" s="19">
        <v>25000</v>
      </c>
      <c r="G302" s="20">
        <v>0</v>
      </c>
      <c r="H302" s="20">
        <v>25</v>
      </c>
      <c r="I302" s="20">
        <v>0</v>
      </c>
      <c r="J302" s="20">
        <f>1500+1000+2338.27</f>
        <v>4838.2700000000004</v>
      </c>
      <c r="K302" s="20">
        <f t="shared" si="54"/>
        <v>717.5</v>
      </c>
      <c r="L302" s="20">
        <f t="shared" si="55"/>
        <v>1774.9999999999998</v>
      </c>
      <c r="M302" s="20">
        <v>325</v>
      </c>
      <c r="N302" s="20">
        <v>760</v>
      </c>
      <c r="O302" s="20">
        <v>1772.5</v>
      </c>
      <c r="P302" s="20">
        <v>0</v>
      </c>
      <c r="Q302" s="19">
        <f t="shared" si="56"/>
        <v>1477.5</v>
      </c>
      <c r="R302" s="19">
        <f t="shared" si="57"/>
        <v>6340.77</v>
      </c>
      <c r="S302" s="19">
        <f t="shared" si="58"/>
        <v>3872.5</v>
      </c>
      <c r="T302" s="19">
        <f t="shared" si="59"/>
        <v>18659.23</v>
      </c>
      <c r="U302" s="22" t="s">
        <v>30</v>
      </c>
    </row>
    <row r="303" spans="1:21" ht="15.75" customHeight="1">
      <c r="A303" s="21">
        <v>288</v>
      </c>
      <c r="B303" s="21" t="s">
        <v>381</v>
      </c>
      <c r="C303" s="21" t="s">
        <v>196</v>
      </c>
      <c r="D303" s="21" t="s">
        <v>72</v>
      </c>
      <c r="E303" s="22" t="s">
        <v>29</v>
      </c>
      <c r="F303" s="19">
        <v>35000</v>
      </c>
      <c r="G303" s="20">
        <v>0</v>
      </c>
      <c r="H303" s="20">
        <v>25</v>
      </c>
      <c r="I303" s="20">
        <v>0</v>
      </c>
      <c r="J303" s="20">
        <v>0</v>
      </c>
      <c r="K303" s="20">
        <f t="shared" si="54"/>
        <v>1004.5</v>
      </c>
      <c r="L303" s="20">
        <f t="shared" si="55"/>
        <v>2485</v>
      </c>
      <c r="M303" s="20">
        <v>455</v>
      </c>
      <c r="N303" s="20">
        <v>1064</v>
      </c>
      <c r="O303" s="20">
        <v>2481.5</v>
      </c>
      <c r="P303" s="20">
        <v>0</v>
      </c>
      <c r="Q303" s="19">
        <f t="shared" si="56"/>
        <v>2068.5</v>
      </c>
      <c r="R303" s="19">
        <f t="shared" si="57"/>
        <v>2093.5</v>
      </c>
      <c r="S303" s="19">
        <f t="shared" si="58"/>
        <v>5421.5</v>
      </c>
      <c r="T303" s="19">
        <f t="shared" si="59"/>
        <v>32906.5</v>
      </c>
      <c r="U303" s="22" t="s">
        <v>30</v>
      </c>
    </row>
    <row r="304" spans="1:21" ht="15.75" customHeight="1">
      <c r="A304" s="17">
        <v>289</v>
      </c>
      <c r="B304" s="21" t="s">
        <v>744</v>
      </c>
      <c r="C304" s="21" t="s">
        <v>157</v>
      </c>
      <c r="D304" s="21" t="s">
        <v>98</v>
      </c>
      <c r="E304" s="22" t="s">
        <v>29</v>
      </c>
      <c r="F304" s="19">
        <v>25000</v>
      </c>
      <c r="G304" s="20">
        <v>0</v>
      </c>
      <c r="H304" s="20">
        <v>25</v>
      </c>
      <c r="I304" s="20">
        <v>0</v>
      </c>
      <c r="J304" s="20">
        <v>0</v>
      </c>
      <c r="K304" s="20">
        <f t="shared" ref="K304" si="60">F304*2.87%</f>
        <v>717.5</v>
      </c>
      <c r="L304" s="20">
        <f t="shared" ref="L304" si="61">F304*7.1%</f>
        <v>1774.9999999999998</v>
      </c>
      <c r="M304" s="20">
        <v>325</v>
      </c>
      <c r="N304" s="20">
        <v>760</v>
      </c>
      <c r="O304" s="20">
        <v>1772.5000000000002</v>
      </c>
      <c r="P304" s="20">
        <v>0</v>
      </c>
      <c r="Q304" s="19">
        <f t="shared" ref="Q304" si="62">K304+N304</f>
        <v>1477.5</v>
      </c>
      <c r="R304" s="19">
        <f t="shared" ref="R304" si="63">G304+H304+I304+J304+K304+N304+P304</f>
        <v>1502.5</v>
      </c>
      <c r="S304" s="19">
        <f t="shared" ref="S304" si="64">L304+M304+O304</f>
        <v>3872.5</v>
      </c>
      <c r="T304" s="19">
        <f t="shared" ref="T304" si="65">F304-R304</f>
        <v>23497.5</v>
      </c>
      <c r="U304" s="22" t="s">
        <v>30</v>
      </c>
    </row>
    <row r="305" spans="1:21" ht="15.75" customHeight="1">
      <c r="A305" s="21">
        <v>290</v>
      </c>
      <c r="B305" s="21" t="s">
        <v>382</v>
      </c>
      <c r="C305" s="21" t="s">
        <v>157</v>
      </c>
      <c r="D305" s="21" t="s">
        <v>98</v>
      </c>
      <c r="E305" s="22" t="s">
        <v>29</v>
      </c>
      <c r="F305" s="19">
        <v>25000</v>
      </c>
      <c r="G305" s="20">
        <v>0</v>
      </c>
      <c r="H305" s="20">
        <v>25</v>
      </c>
      <c r="I305" s="20">
        <v>0</v>
      </c>
      <c r="J305" s="20">
        <v>0</v>
      </c>
      <c r="K305" s="20">
        <f t="shared" si="54"/>
        <v>717.5</v>
      </c>
      <c r="L305" s="20">
        <f t="shared" si="55"/>
        <v>1774.9999999999998</v>
      </c>
      <c r="M305" s="20">
        <v>325</v>
      </c>
      <c r="N305" s="20">
        <v>760</v>
      </c>
      <c r="O305" s="20">
        <v>1772.5000000000002</v>
      </c>
      <c r="P305" s="20">
        <v>0</v>
      </c>
      <c r="Q305" s="19">
        <f t="shared" si="56"/>
        <v>1477.5</v>
      </c>
      <c r="R305" s="19">
        <f t="shared" si="57"/>
        <v>1502.5</v>
      </c>
      <c r="S305" s="19">
        <f t="shared" si="58"/>
        <v>3872.5</v>
      </c>
      <c r="T305" s="19">
        <f t="shared" si="59"/>
        <v>23497.5</v>
      </c>
      <c r="U305" s="22" t="s">
        <v>30</v>
      </c>
    </row>
    <row r="306" spans="1:21" ht="15.75" customHeight="1">
      <c r="A306" s="21">
        <v>291</v>
      </c>
      <c r="B306" s="21" t="s">
        <v>383</v>
      </c>
      <c r="C306" s="21" t="s">
        <v>68</v>
      </c>
      <c r="D306" s="21" t="s">
        <v>28</v>
      </c>
      <c r="E306" s="22" t="s">
        <v>29</v>
      </c>
      <c r="F306" s="19">
        <v>25000</v>
      </c>
      <c r="G306" s="20">
        <v>0</v>
      </c>
      <c r="H306" s="20">
        <v>25</v>
      </c>
      <c r="I306" s="20">
        <v>0</v>
      </c>
      <c r="J306" s="20">
        <v>0</v>
      </c>
      <c r="K306" s="20">
        <f t="shared" si="54"/>
        <v>717.5</v>
      </c>
      <c r="L306" s="20">
        <f t="shared" si="55"/>
        <v>1774.9999999999998</v>
      </c>
      <c r="M306" s="20">
        <v>325</v>
      </c>
      <c r="N306" s="20">
        <v>760</v>
      </c>
      <c r="O306" s="20">
        <v>1772.5000000000002</v>
      </c>
      <c r="P306" s="20">
        <v>0</v>
      </c>
      <c r="Q306" s="19">
        <f t="shared" si="56"/>
        <v>1477.5</v>
      </c>
      <c r="R306" s="19">
        <f t="shared" si="57"/>
        <v>1502.5</v>
      </c>
      <c r="S306" s="19">
        <f t="shared" si="58"/>
        <v>3872.5</v>
      </c>
      <c r="T306" s="19">
        <f t="shared" si="59"/>
        <v>23497.5</v>
      </c>
      <c r="U306" s="22" t="s">
        <v>30</v>
      </c>
    </row>
    <row r="307" spans="1:21" ht="15.75" customHeight="1">
      <c r="A307" s="17">
        <v>292</v>
      </c>
      <c r="B307" s="21" t="s">
        <v>384</v>
      </c>
      <c r="C307" s="21" t="s">
        <v>51</v>
      </c>
      <c r="D307" s="21" t="s">
        <v>52</v>
      </c>
      <c r="E307" s="22" t="s">
        <v>29</v>
      </c>
      <c r="F307" s="19">
        <v>10000</v>
      </c>
      <c r="G307" s="20">
        <v>0</v>
      </c>
      <c r="H307" s="20">
        <v>25</v>
      </c>
      <c r="I307" s="20">
        <v>0</v>
      </c>
      <c r="J307" s="20">
        <v>0</v>
      </c>
      <c r="K307" s="20">
        <f t="shared" si="54"/>
        <v>287</v>
      </c>
      <c r="L307" s="20">
        <f t="shared" si="55"/>
        <v>709.99999999999989</v>
      </c>
      <c r="M307" s="20">
        <v>130</v>
      </c>
      <c r="N307" s="20">
        <v>304</v>
      </c>
      <c r="O307" s="20">
        <v>709</v>
      </c>
      <c r="P307" s="20">
        <v>0</v>
      </c>
      <c r="Q307" s="19">
        <f t="shared" si="56"/>
        <v>591</v>
      </c>
      <c r="R307" s="19">
        <f t="shared" si="57"/>
        <v>616</v>
      </c>
      <c r="S307" s="19">
        <f t="shared" si="58"/>
        <v>1549</v>
      </c>
      <c r="T307" s="19">
        <f t="shared" si="59"/>
        <v>9384</v>
      </c>
      <c r="U307" s="22" t="s">
        <v>30</v>
      </c>
    </row>
    <row r="308" spans="1:21" ht="15.75" customHeight="1">
      <c r="A308" s="21">
        <v>293</v>
      </c>
      <c r="B308" s="21" t="s">
        <v>385</v>
      </c>
      <c r="C308" s="21" t="s">
        <v>77</v>
      </c>
      <c r="D308" s="21" t="s">
        <v>61</v>
      </c>
      <c r="E308" s="22" t="s">
        <v>29</v>
      </c>
      <c r="F308" s="19">
        <v>10000</v>
      </c>
      <c r="G308" s="20">
        <v>0</v>
      </c>
      <c r="H308" s="20">
        <v>25</v>
      </c>
      <c r="I308" s="20">
        <v>0</v>
      </c>
      <c r="J308" s="20">
        <v>0</v>
      </c>
      <c r="K308" s="20">
        <f t="shared" si="54"/>
        <v>287</v>
      </c>
      <c r="L308" s="20">
        <f t="shared" si="55"/>
        <v>709.99999999999989</v>
      </c>
      <c r="M308" s="20">
        <v>130</v>
      </c>
      <c r="N308" s="20">
        <v>304</v>
      </c>
      <c r="O308" s="20">
        <v>709</v>
      </c>
      <c r="P308" s="20">
        <v>0</v>
      </c>
      <c r="Q308" s="19">
        <f t="shared" si="56"/>
        <v>591</v>
      </c>
      <c r="R308" s="19">
        <f t="shared" si="57"/>
        <v>616</v>
      </c>
      <c r="S308" s="19">
        <f t="shared" si="58"/>
        <v>1549</v>
      </c>
      <c r="T308" s="19">
        <f t="shared" si="59"/>
        <v>9384</v>
      </c>
      <c r="U308" s="22" t="s">
        <v>30</v>
      </c>
    </row>
    <row r="309" spans="1:21" ht="15.75" customHeight="1">
      <c r="A309" s="21">
        <v>294</v>
      </c>
      <c r="B309" s="21" t="s">
        <v>386</v>
      </c>
      <c r="C309" s="21" t="s">
        <v>57</v>
      </c>
      <c r="D309" s="21" t="s">
        <v>58</v>
      </c>
      <c r="E309" s="22" t="s">
        <v>29</v>
      </c>
      <c r="F309" s="19">
        <v>15000</v>
      </c>
      <c r="G309" s="20">
        <v>0</v>
      </c>
      <c r="H309" s="20">
        <v>25</v>
      </c>
      <c r="I309" s="20">
        <v>0</v>
      </c>
      <c r="J309" s="20">
        <v>0</v>
      </c>
      <c r="K309" s="20">
        <f t="shared" si="54"/>
        <v>430.5</v>
      </c>
      <c r="L309" s="20">
        <f t="shared" si="55"/>
        <v>1065</v>
      </c>
      <c r="M309" s="20">
        <v>195</v>
      </c>
      <c r="N309" s="20">
        <v>456</v>
      </c>
      <c r="O309" s="20">
        <v>1063.5</v>
      </c>
      <c r="P309" s="20">
        <v>0</v>
      </c>
      <c r="Q309" s="19">
        <f t="shared" si="56"/>
        <v>886.5</v>
      </c>
      <c r="R309" s="19">
        <f t="shared" si="57"/>
        <v>911.5</v>
      </c>
      <c r="S309" s="19">
        <f t="shared" si="58"/>
        <v>2323.5</v>
      </c>
      <c r="T309" s="19">
        <f t="shared" si="59"/>
        <v>14088.5</v>
      </c>
      <c r="U309" s="22" t="s">
        <v>30</v>
      </c>
    </row>
    <row r="310" spans="1:21" ht="15.75" customHeight="1">
      <c r="A310" s="17">
        <v>295</v>
      </c>
      <c r="B310" s="21" t="s">
        <v>387</v>
      </c>
      <c r="C310" s="21" t="s">
        <v>57</v>
      </c>
      <c r="D310" s="21" t="s">
        <v>58</v>
      </c>
      <c r="E310" s="22" t="s">
        <v>29</v>
      </c>
      <c r="F310" s="19">
        <v>10000</v>
      </c>
      <c r="G310" s="20">
        <v>0</v>
      </c>
      <c r="H310" s="20">
        <v>25</v>
      </c>
      <c r="I310" s="20">
        <v>0</v>
      </c>
      <c r="J310" s="20">
        <v>0</v>
      </c>
      <c r="K310" s="20">
        <f t="shared" si="54"/>
        <v>287</v>
      </c>
      <c r="L310" s="20">
        <f t="shared" si="55"/>
        <v>709.99999999999989</v>
      </c>
      <c r="M310" s="20">
        <v>130</v>
      </c>
      <c r="N310" s="20">
        <v>304</v>
      </c>
      <c r="O310" s="20">
        <v>709</v>
      </c>
      <c r="P310" s="20">
        <v>0</v>
      </c>
      <c r="Q310" s="19">
        <f t="shared" si="56"/>
        <v>591</v>
      </c>
      <c r="R310" s="19">
        <f t="shared" si="57"/>
        <v>616</v>
      </c>
      <c r="S310" s="19">
        <f t="shared" si="58"/>
        <v>1549</v>
      </c>
      <c r="T310" s="19">
        <f t="shared" si="59"/>
        <v>9384</v>
      </c>
      <c r="U310" s="22" t="s">
        <v>30</v>
      </c>
    </row>
    <row r="311" spans="1:21" ht="15.75" customHeight="1">
      <c r="A311" s="21">
        <v>296</v>
      </c>
      <c r="B311" s="21" t="s">
        <v>388</v>
      </c>
      <c r="C311" s="21" t="s">
        <v>51</v>
      </c>
      <c r="D311" s="21" t="s">
        <v>52</v>
      </c>
      <c r="E311" s="22" t="s">
        <v>29</v>
      </c>
      <c r="F311" s="19">
        <v>15000</v>
      </c>
      <c r="G311" s="20">
        <v>0</v>
      </c>
      <c r="H311" s="20">
        <v>25</v>
      </c>
      <c r="I311" s="20">
        <v>0</v>
      </c>
      <c r="J311" s="20">
        <f>1000+300+8334.03</f>
        <v>9634.0300000000007</v>
      </c>
      <c r="K311" s="20">
        <f t="shared" si="54"/>
        <v>430.5</v>
      </c>
      <c r="L311" s="20">
        <f t="shared" si="55"/>
        <v>1065</v>
      </c>
      <c r="M311" s="20">
        <v>195</v>
      </c>
      <c r="N311" s="20">
        <v>456</v>
      </c>
      <c r="O311" s="20">
        <v>1063.5</v>
      </c>
      <c r="P311" s="20">
        <v>0</v>
      </c>
      <c r="Q311" s="19">
        <f t="shared" si="56"/>
        <v>886.5</v>
      </c>
      <c r="R311" s="19">
        <f t="shared" si="57"/>
        <v>10545.53</v>
      </c>
      <c r="S311" s="19">
        <f t="shared" si="58"/>
        <v>2323.5</v>
      </c>
      <c r="T311" s="19">
        <f t="shared" si="59"/>
        <v>4454.4699999999993</v>
      </c>
      <c r="U311" s="22" t="s">
        <v>30</v>
      </c>
    </row>
    <row r="312" spans="1:21" ht="15.75" customHeight="1">
      <c r="A312" s="21">
        <v>297</v>
      </c>
      <c r="B312" s="21" t="s">
        <v>389</v>
      </c>
      <c r="C312" s="21" t="s">
        <v>77</v>
      </c>
      <c r="D312" s="21" t="s">
        <v>78</v>
      </c>
      <c r="E312" s="22" t="s">
        <v>29</v>
      </c>
      <c r="F312" s="19">
        <v>10000</v>
      </c>
      <c r="G312" s="20">
        <v>0</v>
      </c>
      <c r="H312" s="20">
        <v>25</v>
      </c>
      <c r="I312" s="20">
        <v>0</v>
      </c>
      <c r="J312" s="20">
        <v>0</v>
      </c>
      <c r="K312" s="20">
        <f t="shared" si="54"/>
        <v>287</v>
      </c>
      <c r="L312" s="20">
        <f t="shared" si="55"/>
        <v>709.99999999999989</v>
      </c>
      <c r="M312" s="20">
        <v>130</v>
      </c>
      <c r="N312" s="20">
        <v>304</v>
      </c>
      <c r="O312" s="20">
        <v>709</v>
      </c>
      <c r="P312" s="20">
        <v>0</v>
      </c>
      <c r="Q312" s="19">
        <f t="shared" si="56"/>
        <v>591</v>
      </c>
      <c r="R312" s="19">
        <f t="shared" si="57"/>
        <v>616</v>
      </c>
      <c r="S312" s="19">
        <f t="shared" si="58"/>
        <v>1549</v>
      </c>
      <c r="T312" s="19">
        <f t="shared" si="59"/>
        <v>9384</v>
      </c>
      <c r="U312" s="22" t="s">
        <v>30</v>
      </c>
    </row>
    <row r="313" spans="1:21" ht="15.75" customHeight="1">
      <c r="A313" s="17">
        <v>298</v>
      </c>
      <c r="B313" s="21" t="s">
        <v>390</v>
      </c>
      <c r="C313" s="21" t="s">
        <v>283</v>
      </c>
      <c r="D313" s="21" t="s">
        <v>49</v>
      </c>
      <c r="E313" s="22" t="s">
        <v>29</v>
      </c>
      <c r="F313" s="19">
        <v>30000</v>
      </c>
      <c r="G313" s="20">
        <v>0</v>
      </c>
      <c r="H313" s="20">
        <v>25</v>
      </c>
      <c r="I313" s="20">
        <v>0</v>
      </c>
      <c r="J313" s="20">
        <f>5000+300</f>
        <v>5300</v>
      </c>
      <c r="K313" s="20">
        <f t="shared" si="54"/>
        <v>861</v>
      </c>
      <c r="L313" s="20">
        <f t="shared" si="55"/>
        <v>2130</v>
      </c>
      <c r="M313" s="20">
        <v>390</v>
      </c>
      <c r="N313" s="20">
        <v>912</v>
      </c>
      <c r="O313" s="20">
        <v>2127</v>
      </c>
      <c r="P313" s="20">
        <v>0</v>
      </c>
      <c r="Q313" s="19">
        <f t="shared" si="56"/>
        <v>1773</v>
      </c>
      <c r="R313" s="19">
        <f t="shared" si="57"/>
        <v>7098</v>
      </c>
      <c r="S313" s="19">
        <f t="shared" si="58"/>
        <v>4647</v>
      </c>
      <c r="T313" s="19">
        <f t="shared" si="59"/>
        <v>22902</v>
      </c>
      <c r="U313" s="22" t="s">
        <v>30</v>
      </c>
    </row>
    <row r="314" spans="1:21" ht="15.75" customHeight="1">
      <c r="A314" s="21">
        <v>299</v>
      </c>
      <c r="B314" s="21" t="s">
        <v>391</v>
      </c>
      <c r="C314" s="21" t="s">
        <v>196</v>
      </c>
      <c r="D314" s="21" t="s">
        <v>72</v>
      </c>
      <c r="E314" s="22" t="s">
        <v>29</v>
      </c>
      <c r="F314" s="19">
        <v>20000</v>
      </c>
      <c r="G314" s="20">
        <v>0</v>
      </c>
      <c r="H314" s="20">
        <v>25</v>
      </c>
      <c r="I314" s="20">
        <v>0</v>
      </c>
      <c r="J314" s="20">
        <v>0</v>
      </c>
      <c r="K314" s="20">
        <f t="shared" si="54"/>
        <v>574</v>
      </c>
      <c r="L314" s="20">
        <f t="shared" si="55"/>
        <v>1419.9999999999998</v>
      </c>
      <c r="M314" s="20">
        <v>260</v>
      </c>
      <c r="N314" s="20">
        <v>608</v>
      </c>
      <c r="O314" s="20">
        <v>1418</v>
      </c>
      <c r="P314" s="20">
        <v>0</v>
      </c>
      <c r="Q314" s="19">
        <f t="shared" si="56"/>
        <v>1182</v>
      </c>
      <c r="R314" s="19">
        <f t="shared" si="57"/>
        <v>1207</v>
      </c>
      <c r="S314" s="19">
        <f t="shared" si="58"/>
        <v>3098</v>
      </c>
      <c r="T314" s="19">
        <f t="shared" si="59"/>
        <v>18793</v>
      </c>
      <c r="U314" s="22" t="s">
        <v>30</v>
      </c>
    </row>
    <row r="315" spans="1:21" ht="15.75" customHeight="1">
      <c r="A315" s="21">
        <v>300</v>
      </c>
      <c r="B315" s="21" t="s">
        <v>392</v>
      </c>
      <c r="C315" s="21" t="s">
        <v>283</v>
      </c>
      <c r="D315" s="21" t="s">
        <v>61</v>
      </c>
      <c r="E315" s="22" t="s">
        <v>29</v>
      </c>
      <c r="F315" s="19">
        <v>15500</v>
      </c>
      <c r="G315" s="20">
        <v>0</v>
      </c>
      <c r="H315" s="20">
        <v>25</v>
      </c>
      <c r="I315" s="20">
        <v>0</v>
      </c>
      <c r="J315" s="20">
        <v>0</v>
      </c>
      <c r="K315" s="20">
        <f t="shared" si="54"/>
        <v>444.85</v>
      </c>
      <c r="L315" s="20">
        <f t="shared" si="55"/>
        <v>1100.5</v>
      </c>
      <c r="M315" s="20">
        <v>201.5</v>
      </c>
      <c r="N315" s="20">
        <v>471.2</v>
      </c>
      <c r="O315" s="20">
        <v>1098.95</v>
      </c>
      <c r="P315" s="20">
        <v>0</v>
      </c>
      <c r="Q315" s="19">
        <f t="shared" si="56"/>
        <v>916.05</v>
      </c>
      <c r="R315" s="19">
        <f t="shared" si="57"/>
        <v>941.05</v>
      </c>
      <c r="S315" s="19">
        <f t="shared" si="58"/>
        <v>2400.9499999999998</v>
      </c>
      <c r="T315" s="19">
        <f t="shared" si="59"/>
        <v>14558.95</v>
      </c>
      <c r="U315" s="22" t="s">
        <v>30</v>
      </c>
    </row>
    <row r="316" spans="1:21" ht="15.75" customHeight="1">
      <c r="A316" s="17">
        <v>301</v>
      </c>
      <c r="B316" s="21" t="s">
        <v>393</v>
      </c>
      <c r="C316" s="21" t="s">
        <v>71</v>
      </c>
      <c r="D316" s="21" t="s">
        <v>72</v>
      </c>
      <c r="E316" s="22" t="s">
        <v>29</v>
      </c>
      <c r="F316" s="19">
        <v>15000</v>
      </c>
      <c r="G316" s="20">
        <v>0</v>
      </c>
      <c r="H316" s="20">
        <v>25</v>
      </c>
      <c r="I316" s="20">
        <v>0</v>
      </c>
      <c r="J316" s="20">
        <v>1000</v>
      </c>
      <c r="K316" s="20">
        <f t="shared" si="54"/>
        <v>430.5</v>
      </c>
      <c r="L316" s="20">
        <f t="shared" si="55"/>
        <v>1065</v>
      </c>
      <c r="M316" s="20">
        <v>195</v>
      </c>
      <c r="N316" s="20">
        <v>456</v>
      </c>
      <c r="O316" s="20">
        <v>1063.5</v>
      </c>
      <c r="P316" s="20">
        <v>0</v>
      </c>
      <c r="Q316" s="19">
        <f t="shared" si="56"/>
        <v>886.5</v>
      </c>
      <c r="R316" s="19">
        <f t="shared" si="57"/>
        <v>1911.5</v>
      </c>
      <c r="S316" s="19">
        <f t="shared" si="58"/>
        <v>2323.5</v>
      </c>
      <c r="T316" s="19">
        <f t="shared" si="59"/>
        <v>13088.5</v>
      </c>
      <c r="U316" s="22" t="s">
        <v>36</v>
      </c>
    </row>
    <row r="317" spans="1:21" ht="15.75" customHeight="1">
      <c r="A317" s="21">
        <v>302</v>
      </c>
      <c r="B317" s="21" t="s">
        <v>394</v>
      </c>
      <c r="C317" s="21" t="s">
        <v>68</v>
      </c>
      <c r="D317" s="21" t="s">
        <v>135</v>
      </c>
      <c r="E317" s="22" t="s">
        <v>29</v>
      </c>
      <c r="F317" s="19">
        <v>25000</v>
      </c>
      <c r="G317" s="20">
        <v>0</v>
      </c>
      <c r="H317" s="20">
        <v>25</v>
      </c>
      <c r="I317" s="20">
        <v>0</v>
      </c>
      <c r="J317" s="20">
        <v>0</v>
      </c>
      <c r="K317" s="20">
        <f t="shared" si="54"/>
        <v>717.5</v>
      </c>
      <c r="L317" s="20">
        <f t="shared" si="55"/>
        <v>1774.9999999999998</v>
      </c>
      <c r="M317" s="20">
        <v>325</v>
      </c>
      <c r="N317" s="20">
        <v>760</v>
      </c>
      <c r="O317" s="20">
        <v>1772.5000000000002</v>
      </c>
      <c r="P317" s="20">
        <v>0</v>
      </c>
      <c r="Q317" s="19">
        <f t="shared" si="56"/>
        <v>1477.5</v>
      </c>
      <c r="R317" s="19">
        <f t="shared" si="57"/>
        <v>1502.5</v>
      </c>
      <c r="S317" s="19">
        <f t="shared" si="58"/>
        <v>3872.5</v>
      </c>
      <c r="T317" s="19">
        <f t="shared" si="59"/>
        <v>23497.5</v>
      </c>
      <c r="U317" s="22" t="s">
        <v>30</v>
      </c>
    </row>
    <row r="318" spans="1:21" ht="15.75" customHeight="1">
      <c r="A318" s="21">
        <v>303</v>
      </c>
      <c r="B318" s="21" t="s">
        <v>395</v>
      </c>
      <c r="C318" s="21" t="s">
        <v>196</v>
      </c>
      <c r="D318" s="21" t="s">
        <v>72</v>
      </c>
      <c r="E318" s="22" t="s">
        <v>29</v>
      </c>
      <c r="F318" s="19">
        <v>20000</v>
      </c>
      <c r="G318" s="20">
        <v>0</v>
      </c>
      <c r="H318" s="20">
        <v>25</v>
      </c>
      <c r="I318" s="20">
        <v>996.71</v>
      </c>
      <c r="J318" s="20">
        <f>1000+300+4786.82</f>
        <v>6086.82</v>
      </c>
      <c r="K318" s="20">
        <f t="shared" si="54"/>
        <v>574</v>
      </c>
      <c r="L318" s="20">
        <f t="shared" si="55"/>
        <v>1419.9999999999998</v>
      </c>
      <c r="M318" s="20">
        <v>260</v>
      </c>
      <c r="N318" s="20">
        <v>608</v>
      </c>
      <c r="O318" s="20">
        <v>1418</v>
      </c>
      <c r="P318" s="20">
        <v>0</v>
      </c>
      <c r="Q318" s="19">
        <f t="shared" si="56"/>
        <v>1182</v>
      </c>
      <c r="R318" s="19">
        <f t="shared" si="57"/>
        <v>8290.5299999999988</v>
      </c>
      <c r="S318" s="19">
        <f t="shared" si="58"/>
        <v>3098</v>
      </c>
      <c r="T318" s="19">
        <f t="shared" si="59"/>
        <v>11709.470000000001</v>
      </c>
      <c r="U318" s="22" t="s">
        <v>30</v>
      </c>
    </row>
    <row r="319" spans="1:21" ht="15.75" customHeight="1">
      <c r="A319" s="17">
        <v>304</v>
      </c>
      <c r="B319" s="21" t="s">
        <v>396</v>
      </c>
      <c r="C319" s="21" t="s">
        <v>397</v>
      </c>
      <c r="D319" s="21" t="s">
        <v>61</v>
      </c>
      <c r="E319" s="22" t="s">
        <v>302</v>
      </c>
      <c r="F319" s="19">
        <v>65002.2</v>
      </c>
      <c r="G319" s="20">
        <v>4427.99</v>
      </c>
      <c r="H319" s="20">
        <v>25</v>
      </c>
      <c r="I319" s="20">
        <v>0</v>
      </c>
      <c r="J319" s="20">
        <v>0</v>
      </c>
      <c r="K319" s="20">
        <f t="shared" si="54"/>
        <v>1865.56314</v>
      </c>
      <c r="L319" s="20">
        <f t="shared" si="55"/>
        <v>4615.1561999999994</v>
      </c>
      <c r="M319" s="20">
        <v>845.03</v>
      </c>
      <c r="N319" s="20">
        <v>1976.0668799999999</v>
      </c>
      <c r="O319" s="20">
        <v>4608.6559800000005</v>
      </c>
      <c r="P319" s="20">
        <v>0</v>
      </c>
      <c r="Q319" s="19">
        <f t="shared" si="56"/>
        <v>3841.6300199999996</v>
      </c>
      <c r="R319" s="19">
        <f t="shared" si="57"/>
        <v>8294.6200200000003</v>
      </c>
      <c r="S319" s="19">
        <f t="shared" si="58"/>
        <v>10068.84218</v>
      </c>
      <c r="T319" s="19">
        <f t="shared" si="59"/>
        <v>56707.579979999995</v>
      </c>
      <c r="U319" s="22" t="s">
        <v>30</v>
      </c>
    </row>
    <row r="320" spans="1:21" ht="15.75" customHeight="1">
      <c r="A320" s="21">
        <v>305</v>
      </c>
      <c r="B320" s="21" t="s">
        <v>398</v>
      </c>
      <c r="C320" s="21" t="s">
        <v>96</v>
      </c>
      <c r="D320" s="21" t="s">
        <v>49</v>
      </c>
      <c r="E320" s="22" t="s">
        <v>29</v>
      </c>
      <c r="F320" s="19">
        <v>27136.75</v>
      </c>
      <c r="G320" s="20">
        <v>0</v>
      </c>
      <c r="H320" s="20">
        <v>25</v>
      </c>
      <c r="I320" s="20">
        <v>0</v>
      </c>
      <c r="J320" s="20">
        <f>1000+300+1836.85</f>
        <v>3136.85</v>
      </c>
      <c r="K320" s="20">
        <f t="shared" si="54"/>
        <v>778.82472499999994</v>
      </c>
      <c r="L320" s="20">
        <f t="shared" si="55"/>
        <v>1926.7092499999999</v>
      </c>
      <c r="M320" s="20">
        <v>352.78</v>
      </c>
      <c r="N320" s="20">
        <v>824.95719999999994</v>
      </c>
      <c r="O320" s="20">
        <v>1923.9955750000001</v>
      </c>
      <c r="P320" s="20">
        <v>0</v>
      </c>
      <c r="Q320" s="19">
        <f t="shared" si="56"/>
        <v>1603.7819249999998</v>
      </c>
      <c r="R320" s="19">
        <f t="shared" si="57"/>
        <v>4765.6319249999997</v>
      </c>
      <c r="S320" s="19">
        <f t="shared" si="58"/>
        <v>4203.4848249999995</v>
      </c>
      <c r="T320" s="19">
        <f t="shared" si="59"/>
        <v>22371.118074999998</v>
      </c>
      <c r="U320" s="22" t="s">
        <v>30</v>
      </c>
    </row>
    <row r="321" spans="1:22" ht="15.75" customHeight="1">
      <c r="A321" s="21">
        <v>306</v>
      </c>
      <c r="B321" s="21" t="s">
        <v>399</v>
      </c>
      <c r="C321" s="21" t="s">
        <v>77</v>
      </c>
      <c r="D321" s="21" t="s">
        <v>61</v>
      </c>
      <c r="E321" s="22" t="s">
        <v>29</v>
      </c>
      <c r="F321" s="19">
        <v>15000</v>
      </c>
      <c r="G321" s="20">
        <v>0</v>
      </c>
      <c r="H321" s="20">
        <v>25</v>
      </c>
      <c r="I321" s="20">
        <v>0</v>
      </c>
      <c r="J321" s="20">
        <v>0</v>
      </c>
      <c r="K321" s="20">
        <f t="shared" si="54"/>
        <v>430.5</v>
      </c>
      <c r="L321" s="20">
        <f t="shared" si="55"/>
        <v>1065</v>
      </c>
      <c r="M321" s="20">
        <v>195</v>
      </c>
      <c r="N321" s="20">
        <v>456</v>
      </c>
      <c r="O321" s="20">
        <v>1063.5</v>
      </c>
      <c r="P321" s="20">
        <v>0</v>
      </c>
      <c r="Q321" s="19">
        <f t="shared" si="56"/>
        <v>886.5</v>
      </c>
      <c r="R321" s="19">
        <f t="shared" si="57"/>
        <v>911.5</v>
      </c>
      <c r="S321" s="19">
        <f t="shared" si="58"/>
        <v>2323.5</v>
      </c>
      <c r="T321" s="19">
        <f t="shared" si="59"/>
        <v>14088.5</v>
      </c>
      <c r="U321" s="22" t="s">
        <v>30</v>
      </c>
    </row>
    <row r="322" spans="1:22" ht="15.75" customHeight="1">
      <c r="A322" s="17">
        <v>307</v>
      </c>
      <c r="B322" s="21" t="s">
        <v>400</v>
      </c>
      <c r="C322" s="21" t="s">
        <v>77</v>
      </c>
      <c r="D322" s="21" t="s">
        <v>61</v>
      </c>
      <c r="E322" s="22" t="s">
        <v>29</v>
      </c>
      <c r="F322" s="19">
        <v>15000</v>
      </c>
      <c r="G322" s="20">
        <v>0</v>
      </c>
      <c r="H322" s="20">
        <v>25</v>
      </c>
      <c r="I322" s="20">
        <v>917.95</v>
      </c>
      <c r="J322" s="20">
        <f>500+500+4589.25+950.5</f>
        <v>6539.75</v>
      </c>
      <c r="K322" s="20">
        <f t="shared" si="54"/>
        <v>430.5</v>
      </c>
      <c r="L322" s="20">
        <f t="shared" si="55"/>
        <v>1065</v>
      </c>
      <c r="M322" s="20">
        <v>195</v>
      </c>
      <c r="N322" s="20">
        <v>456</v>
      </c>
      <c r="O322" s="20">
        <v>1063.5</v>
      </c>
      <c r="P322" s="20">
        <v>0</v>
      </c>
      <c r="Q322" s="19">
        <f t="shared" si="56"/>
        <v>886.5</v>
      </c>
      <c r="R322" s="19">
        <f t="shared" si="57"/>
        <v>8369.2000000000007</v>
      </c>
      <c r="S322" s="19">
        <f t="shared" si="58"/>
        <v>2323.5</v>
      </c>
      <c r="T322" s="19">
        <f t="shared" si="59"/>
        <v>6630.7999999999993</v>
      </c>
      <c r="U322" s="22" t="s">
        <v>30</v>
      </c>
    </row>
    <row r="323" spans="1:22" ht="15.75" customHeight="1">
      <c r="A323" s="21">
        <v>308</v>
      </c>
      <c r="B323" s="21" t="s">
        <v>401</v>
      </c>
      <c r="C323" s="21" t="s">
        <v>57</v>
      </c>
      <c r="D323" s="21" t="s">
        <v>58</v>
      </c>
      <c r="E323" s="22" t="s">
        <v>29</v>
      </c>
      <c r="F323" s="19">
        <v>12100</v>
      </c>
      <c r="G323" s="20">
        <v>0</v>
      </c>
      <c r="H323" s="20">
        <v>25</v>
      </c>
      <c r="I323" s="20">
        <v>0</v>
      </c>
      <c r="J323" s="20">
        <v>0</v>
      </c>
      <c r="K323" s="20">
        <f t="shared" si="54"/>
        <v>347.27</v>
      </c>
      <c r="L323" s="20">
        <f t="shared" si="55"/>
        <v>859.09999999999991</v>
      </c>
      <c r="M323" s="20">
        <v>157.30000000000001</v>
      </c>
      <c r="N323" s="20">
        <v>367.84</v>
      </c>
      <c r="O323" s="20">
        <v>857.8900000000001</v>
      </c>
      <c r="P323" s="20">
        <v>0</v>
      </c>
      <c r="Q323" s="19">
        <f t="shared" si="56"/>
        <v>715.1099999999999</v>
      </c>
      <c r="R323" s="19">
        <f t="shared" si="57"/>
        <v>740.1099999999999</v>
      </c>
      <c r="S323" s="19">
        <f t="shared" si="58"/>
        <v>1874.29</v>
      </c>
      <c r="T323" s="19">
        <f t="shared" si="59"/>
        <v>11359.89</v>
      </c>
      <c r="U323" s="22" t="s">
        <v>30</v>
      </c>
    </row>
    <row r="324" spans="1:22" ht="15.75" customHeight="1">
      <c r="A324" s="21">
        <v>309</v>
      </c>
      <c r="B324" s="21" t="s">
        <v>402</v>
      </c>
      <c r="C324" s="21" t="s">
        <v>77</v>
      </c>
      <c r="D324" s="21" t="s">
        <v>78</v>
      </c>
      <c r="E324" s="22" t="s">
        <v>29</v>
      </c>
      <c r="F324" s="19">
        <v>10000</v>
      </c>
      <c r="G324" s="20">
        <v>0</v>
      </c>
      <c r="H324" s="20">
        <v>25</v>
      </c>
      <c r="I324" s="20">
        <v>0</v>
      </c>
      <c r="J324" s="20">
        <v>0</v>
      </c>
      <c r="K324" s="20">
        <f t="shared" si="54"/>
        <v>287</v>
      </c>
      <c r="L324" s="20">
        <f t="shared" si="55"/>
        <v>709.99999999999989</v>
      </c>
      <c r="M324" s="20">
        <v>130</v>
      </c>
      <c r="N324" s="20">
        <v>304</v>
      </c>
      <c r="O324" s="20">
        <v>709</v>
      </c>
      <c r="P324" s="20">
        <v>0</v>
      </c>
      <c r="Q324" s="19">
        <f t="shared" si="56"/>
        <v>591</v>
      </c>
      <c r="R324" s="19">
        <f t="shared" si="57"/>
        <v>616</v>
      </c>
      <c r="S324" s="19">
        <f t="shared" si="58"/>
        <v>1549</v>
      </c>
      <c r="T324" s="19">
        <f t="shared" si="59"/>
        <v>9384</v>
      </c>
      <c r="U324" s="22" t="s">
        <v>30</v>
      </c>
    </row>
    <row r="325" spans="1:22" ht="15.75" customHeight="1">
      <c r="A325" s="17">
        <v>310</v>
      </c>
      <c r="B325" s="21" t="s">
        <v>403</v>
      </c>
      <c r="C325" s="21" t="s">
        <v>63</v>
      </c>
      <c r="D325" s="21" t="s">
        <v>98</v>
      </c>
      <c r="E325" s="22" t="s">
        <v>29</v>
      </c>
      <c r="F325" s="19">
        <v>20000</v>
      </c>
      <c r="G325" s="20">
        <v>0</v>
      </c>
      <c r="H325" s="20">
        <v>25</v>
      </c>
      <c r="I325" s="20">
        <v>0</v>
      </c>
      <c r="J325" s="20">
        <v>0</v>
      </c>
      <c r="K325" s="20">
        <f t="shared" si="54"/>
        <v>574</v>
      </c>
      <c r="L325" s="20">
        <f t="shared" si="55"/>
        <v>1419.9999999999998</v>
      </c>
      <c r="M325" s="20">
        <v>260</v>
      </c>
      <c r="N325" s="20">
        <v>608</v>
      </c>
      <c r="O325" s="20">
        <v>1418</v>
      </c>
      <c r="P325" s="20">
        <v>0</v>
      </c>
      <c r="Q325" s="19">
        <f t="shared" si="56"/>
        <v>1182</v>
      </c>
      <c r="R325" s="19">
        <f t="shared" si="57"/>
        <v>1207</v>
      </c>
      <c r="S325" s="19">
        <f t="shared" si="58"/>
        <v>3098</v>
      </c>
      <c r="T325" s="19">
        <f t="shared" si="59"/>
        <v>18793</v>
      </c>
      <c r="U325" s="22" t="s">
        <v>30</v>
      </c>
    </row>
    <row r="326" spans="1:22" ht="15.75" customHeight="1">
      <c r="A326" s="21">
        <v>311</v>
      </c>
      <c r="B326" s="21" t="s">
        <v>404</v>
      </c>
      <c r="C326" s="21" t="s">
        <v>60</v>
      </c>
      <c r="D326" s="21" t="s">
        <v>61</v>
      </c>
      <c r="E326" s="22" t="s">
        <v>29</v>
      </c>
      <c r="F326" s="19">
        <v>35000</v>
      </c>
      <c r="G326" s="20">
        <v>0</v>
      </c>
      <c r="H326" s="20">
        <v>25</v>
      </c>
      <c r="I326" s="20">
        <v>0</v>
      </c>
      <c r="J326" s="20">
        <f>300+300+4783.09</f>
        <v>5383.09</v>
      </c>
      <c r="K326" s="20">
        <f t="shared" si="54"/>
        <v>1004.5</v>
      </c>
      <c r="L326" s="20">
        <f t="shared" si="55"/>
        <v>2485</v>
      </c>
      <c r="M326" s="20">
        <v>455</v>
      </c>
      <c r="N326" s="20">
        <v>1064</v>
      </c>
      <c r="O326" s="20">
        <v>2481.5</v>
      </c>
      <c r="P326" s="20">
        <v>0</v>
      </c>
      <c r="Q326" s="19">
        <f t="shared" si="56"/>
        <v>2068.5</v>
      </c>
      <c r="R326" s="19">
        <f t="shared" si="57"/>
        <v>7476.59</v>
      </c>
      <c r="S326" s="19">
        <f t="shared" si="58"/>
        <v>5421.5</v>
      </c>
      <c r="T326" s="19">
        <f t="shared" si="59"/>
        <v>27523.41</v>
      </c>
      <c r="U326" s="22" t="s">
        <v>30</v>
      </c>
    </row>
    <row r="327" spans="1:22" ht="15.75" customHeight="1">
      <c r="A327" s="21">
        <v>312</v>
      </c>
      <c r="B327" s="21" t="s">
        <v>405</v>
      </c>
      <c r="C327" s="21" t="s">
        <v>77</v>
      </c>
      <c r="D327" s="21" t="s">
        <v>78</v>
      </c>
      <c r="E327" s="22" t="s">
        <v>29</v>
      </c>
      <c r="F327" s="19">
        <v>10000</v>
      </c>
      <c r="G327" s="20">
        <v>0</v>
      </c>
      <c r="H327" s="20">
        <v>25</v>
      </c>
      <c r="I327" s="20">
        <v>0</v>
      </c>
      <c r="J327" s="20">
        <v>0</v>
      </c>
      <c r="K327" s="20">
        <f t="shared" si="54"/>
        <v>287</v>
      </c>
      <c r="L327" s="20">
        <f t="shared" si="55"/>
        <v>709.99999999999989</v>
      </c>
      <c r="M327" s="20">
        <v>130</v>
      </c>
      <c r="N327" s="20">
        <v>304</v>
      </c>
      <c r="O327" s="20">
        <v>709</v>
      </c>
      <c r="P327" s="20">
        <v>0</v>
      </c>
      <c r="Q327" s="19">
        <f t="shared" si="56"/>
        <v>591</v>
      </c>
      <c r="R327" s="19">
        <f t="shared" si="57"/>
        <v>616</v>
      </c>
      <c r="S327" s="19">
        <f t="shared" si="58"/>
        <v>1549</v>
      </c>
      <c r="T327" s="19">
        <f t="shared" si="59"/>
        <v>9384</v>
      </c>
      <c r="U327" s="22" t="s">
        <v>30</v>
      </c>
    </row>
    <row r="328" spans="1:22" ht="15.75" customHeight="1">
      <c r="A328" s="17">
        <v>313</v>
      </c>
      <c r="B328" s="21" t="s">
        <v>406</v>
      </c>
      <c r="C328" s="21" t="s">
        <v>51</v>
      </c>
      <c r="D328" s="21" t="s">
        <v>52</v>
      </c>
      <c r="E328" s="22" t="s">
        <v>29</v>
      </c>
      <c r="F328" s="19">
        <v>20000</v>
      </c>
      <c r="G328" s="20">
        <v>0</v>
      </c>
      <c r="H328" s="20">
        <v>25</v>
      </c>
      <c r="I328" s="20">
        <v>0</v>
      </c>
      <c r="J328" s="20">
        <v>0</v>
      </c>
      <c r="K328" s="20">
        <f t="shared" si="54"/>
        <v>574</v>
      </c>
      <c r="L328" s="20">
        <f t="shared" si="55"/>
        <v>1419.9999999999998</v>
      </c>
      <c r="M328" s="20">
        <v>260</v>
      </c>
      <c r="N328" s="20">
        <v>608</v>
      </c>
      <c r="O328" s="20">
        <v>1418</v>
      </c>
      <c r="P328" s="20">
        <v>0</v>
      </c>
      <c r="Q328" s="19">
        <f t="shared" si="56"/>
        <v>1182</v>
      </c>
      <c r="R328" s="19">
        <f t="shared" si="57"/>
        <v>1207</v>
      </c>
      <c r="S328" s="19">
        <f t="shared" si="58"/>
        <v>3098</v>
      </c>
      <c r="T328" s="19">
        <f t="shared" si="59"/>
        <v>18793</v>
      </c>
      <c r="U328" s="22" t="s">
        <v>30</v>
      </c>
    </row>
    <row r="329" spans="1:22" ht="15.75" customHeight="1">
      <c r="A329" s="21">
        <v>314</v>
      </c>
      <c r="B329" s="21" t="s">
        <v>407</v>
      </c>
      <c r="C329" s="21" t="s">
        <v>77</v>
      </c>
      <c r="D329" s="21" t="s">
        <v>78</v>
      </c>
      <c r="E329" s="22" t="s">
        <v>29</v>
      </c>
      <c r="F329" s="19">
        <v>10000</v>
      </c>
      <c r="G329" s="20">
        <v>0</v>
      </c>
      <c r="H329" s="20">
        <v>25</v>
      </c>
      <c r="I329" s="20">
        <v>0</v>
      </c>
      <c r="J329" s="20">
        <v>0</v>
      </c>
      <c r="K329" s="20">
        <f t="shared" si="54"/>
        <v>287</v>
      </c>
      <c r="L329" s="20">
        <f t="shared" si="55"/>
        <v>709.99999999999989</v>
      </c>
      <c r="M329" s="20">
        <v>130</v>
      </c>
      <c r="N329" s="20">
        <v>304</v>
      </c>
      <c r="O329" s="20">
        <v>709</v>
      </c>
      <c r="P329" s="20">
        <v>0</v>
      </c>
      <c r="Q329" s="19">
        <f t="shared" si="56"/>
        <v>591</v>
      </c>
      <c r="R329" s="19">
        <f t="shared" si="57"/>
        <v>616</v>
      </c>
      <c r="S329" s="19">
        <f t="shared" si="58"/>
        <v>1549</v>
      </c>
      <c r="T329" s="19">
        <f t="shared" si="59"/>
        <v>9384</v>
      </c>
      <c r="U329" s="22" t="s">
        <v>30</v>
      </c>
    </row>
    <row r="330" spans="1:22" ht="15.75" customHeight="1">
      <c r="A330" s="21">
        <v>315</v>
      </c>
      <c r="B330" s="21" t="s">
        <v>408</v>
      </c>
      <c r="C330" s="21" t="s">
        <v>77</v>
      </c>
      <c r="D330" s="21" t="s">
        <v>61</v>
      </c>
      <c r="E330" s="22" t="s">
        <v>29</v>
      </c>
      <c r="F330" s="19">
        <v>10000</v>
      </c>
      <c r="G330" s="20">
        <v>0</v>
      </c>
      <c r="H330" s="20">
        <v>25</v>
      </c>
      <c r="I330" s="20">
        <v>0</v>
      </c>
      <c r="J330" s="20">
        <v>0</v>
      </c>
      <c r="K330" s="20">
        <f t="shared" si="54"/>
        <v>287</v>
      </c>
      <c r="L330" s="20">
        <f t="shared" si="55"/>
        <v>709.99999999999989</v>
      </c>
      <c r="M330" s="20">
        <v>130</v>
      </c>
      <c r="N330" s="20">
        <v>304</v>
      </c>
      <c r="O330" s="20">
        <v>709</v>
      </c>
      <c r="P330" s="20">
        <v>0</v>
      </c>
      <c r="Q330" s="19">
        <f t="shared" si="56"/>
        <v>591</v>
      </c>
      <c r="R330" s="19">
        <f t="shared" si="57"/>
        <v>616</v>
      </c>
      <c r="S330" s="19">
        <f t="shared" si="58"/>
        <v>1549</v>
      </c>
      <c r="T330" s="19">
        <f t="shared" si="59"/>
        <v>9384</v>
      </c>
      <c r="U330" s="22" t="s">
        <v>36</v>
      </c>
    </row>
    <row r="331" spans="1:22" ht="15.75" customHeight="1">
      <c r="A331" s="17">
        <v>316</v>
      </c>
      <c r="B331" s="21" t="s">
        <v>409</v>
      </c>
      <c r="C331" s="21" t="s">
        <v>48</v>
      </c>
      <c r="D331" s="21" t="s">
        <v>122</v>
      </c>
      <c r="E331" s="22" t="s">
        <v>29</v>
      </c>
      <c r="F331" s="19">
        <v>25000</v>
      </c>
      <c r="G331" s="20">
        <v>0</v>
      </c>
      <c r="H331" s="20">
        <v>25</v>
      </c>
      <c r="I331" s="20">
        <v>0</v>
      </c>
      <c r="J331" s="20">
        <v>0</v>
      </c>
      <c r="K331" s="20">
        <f t="shared" si="54"/>
        <v>717.5</v>
      </c>
      <c r="L331" s="20">
        <f t="shared" si="55"/>
        <v>1774.9999999999998</v>
      </c>
      <c r="M331" s="20">
        <v>325</v>
      </c>
      <c r="N331" s="20">
        <v>760</v>
      </c>
      <c r="O331" s="20">
        <v>1772.5000000000002</v>
      </c>
      <c r="P331" s="20">
        <v>0</v>
      </c>
      <c r="Q331" s="19">
        <f t="shared" si="56"/>
        <v>1477.5</v>
      </c>
      <c r="R331" s="19">
        <f t="shared" si="57"/>
        <v>1502.5</v>
      </c>
      <c r="S331" s="19">
        <f t="shared" si="58"/>
        <v>3872.5</v>
      </c>
      <c r="T331" s="19">
        <f t="shared" si="59"/>
        <v>23497.5</v>
      </c>
      <c r="U331" s="22" t="s">
        <v>36</v>
      </c>
    </row>
    <row r="332" spans="1:22" ht="15.75" customHeight="1">
      <c r="A332" s="21">
        <v>317</v>
      </c>
      <c r="B332" s="21" t="s">
        <v>410</v>
      </c>
      <c r="C332" s="21" t="s">
        <v>48</v>
      </c>
      <c r="D332" s="21" t="s">
        <v>98</v>
      </c>
      <c r="E332" s="22" t="s">
        <v>29</v>
      </c>
      <c r="F332" s="19">
        <v>15000</v>
      </c>
      <c r="G332" s="20">
        <v>0</v>
      </c>
      <c r="H332" s="20">
        <v>25</v>
      </c>
      <c r="I332" s="20">
        <v>0</v>
      </c>
      <c r="J332" s="20">
        <v>0</v>
      </c>
      <c r="K332" s="20">
        <f t="shared" si="54"/>
        <v>430.5</v>
      </c>
      <c r="L332" s="20">
        <f t="shared" si="55"/>
        <v>1065</v>
      </c>
      <c r="M332" s="20">
        <v>195</v>
      </c>
      <c r="N332" s="20">
        <v>456</v>
      </c>
      <c r="O332" s="20">
        <v>1063.5</v>
      </c>
      <c r="P332" s="20">
        <v>0</v>
      </c>
      <c r="Q332" s="19">
        <f t="shared" si="56"/>
        <v>886.5</v>
      </c>
      <c r="R332" s="19">
        <f t="shared" si="57"/>
        <v>911.5</v>
      </c>
      <c r="S332" s="19">
        <f t="shared" si="58"/>
        <v>2323.5</v>
      </c>
      <c r="T332" s="19">
        <f t="shared" si="59"/>
        <v>14088.5</v>
      </c>
      <c r="U332" s="22" t="s">
        <v>36</v>
      </c>
    </row>
    <row r="333" spans="1:22" ht="15.75" customHeight="1">
      <c r="A333" s="21">
        <v>318</v>
      </c>
      <c r="B333" s="21" t="s">
        <v>411</v>
      </c>
      <c r="C333" s="21" t="s">
        <v>66</v>
      </c>
      <c r="D333" s="21" t="s">
        <v>69</v>
      </c>
      <c r="E333" s="22" t="s">
        <v>29</v>
      </c>
      <c r="F333" s="19">
        <v>25000</v>
      </c>
      <c r="G333" s="20">
        <v>0</v>
      </c>
      <c r="H333" s="20">
        <v>25</v>
      </c>
      <c r="I333" s="20">
        <v>0</v>
      </c>
      <c r="J333" s="20">
        <f>1000+300+8262.76+6823.95</f>
        <v>16386.71</v>
      </c>
      <c r="K333" s="20">
        <f t="shared" si="54"/>
        <v>717.5</v>
      </c>
      <c r="L333" s="20">
        <f t="shared" si="55"/>
        <v>1774.9999999999998</v>
      </c>
      <c r="M333" s="20">
        <v>325</v>
      </c>
      <c r="N333" s="20">
        <v>760</v>
      </c>
      <c r="O333" s="20">
        <v>1772.5000000000002</v>
      </c>
      <c r="P333" s="20">
        <v>0</v>
      </c>
      <c r="Q333" s="19">
        <f t="shared" si="56"/>
        <v>1477.5</v>
      </c>
      <c r="R333" s="19">
        <f t="shared" si="57"/>
        <v>17889.21</v>
      </c>
      <c r="S333" s="19">
        <f t="shared" si="58"/>
        <v>3872.5</v>
      </c>
      <c r="T333" s="19">
        <f t="shared" si="59"/>
        <v>7110.7900000000009</v>
      </c>
      <c r="U333" s="22" t="s">
        <v>30</v>
      </c>
    </row>
    <row r="334" spans="1:22" ht="15.75" customHeight="1">
      <c r="A334" s="17">
        <v>319</v>
      </c>
      <c r="B334" s="21" t="s">
        <v>412</v>
      </c>
      <c r="C334" s="21" t="s">
        <v>63</v>
      </c>
      <c r="D334" s="21" t="s">
        <v>98</v>
      </c>
      <c r="E334" s="22" t="s">
        <v>29</v>
      </c>
      <c r="F334" s="19">
        <v>25000</v>
      </c>
      <c r="G334" s="20">
        <v>0</v>
      </c>
      <c r="H334" s="20">
        <v>25</v>
      </c>
      <c r="I334" s="20">
        <v>0</v>
      </c>
      <c r="J334" s="20">
        <f>1500+300</f>
        <v>1800</v>
      </c>
      <c r="K334" s="20">
        <f t="shared" si="54"/>
        <v>717.5</v>
      </c>
      <c r="L334" s="20">
        <f t="shared" si="55"/>
        <v>1774.9999999999998</v>
      </c>
      <c r="M334" s="20">
        <v>325</v>
      </c>
      <c r="N334" s="20">
        <v>760</v>
      </c>
      <c r="O334" s="20">
        <v>1772.5000000000002</v>
      </c>
      <c r="P334" s="20">
        <v>0</v>
      </c>
      <c r="Q334" s="19">
        <f t="shared" si="56"/>
        <v>1477.5</v>
      </c>
      <c r="R334" s="19">
        <f t="shared" si="57"/>
        <v>3302.5</v>
      </c>
      <c r="S334" s="19">
        <f t="shared" si="58"/>
        <v>3872.5</v>
      </c>
      <c r="T334" s="19">
        <f t="shared" si="59"/>
        <v>21697.5</v>
      </c>
      <c r="U334" s="22" t="s">
        <v>30</v>
      </c>
    </row>
    <row r="335" spans="1:22" ht="15.75" customHeight="1">
      <c r="A335" s="21">
        <v>320</v>
      </c>
      <c r="B335" s="21" t="s">
        <v>413</v>
      </c>
      <c r="C335" s="21" t="s">
        <v>88</v>
      </c>
      <c r="D335" s="21" t="s">
        <v>58</v>
      </c>
      <c r="E335" s="22" t="s">
        <v>29</v>
      </c>
      <c r="F335" s="19">
        <v>10000</v>
      </c>
      <c r="G335" s="20">
        <v>0</v>
      </c>
      <c r="H335" s="20">
        <v>25</v>
      </c>
      <c r="I335" s="20">
        <v>0</v>
      </c>
      <c r="J335" s="20">
        <v>0</v>
      </c>
      <c r="K335" s="20">
        <f t="shared" si="54"/>
        <v>287</v>
      </c>
      <c r="L335" s="20">
        <f t="shared" si="55"/>
        <v>709.99999999999989</v>
      </c>
      <c r="M335" s="20">
        <v>130</v>
      </c>
      <c r="N335" s="20">
        <v>304</v>
      </c>
      <c r="O335" s="20">
        <v>709</v>
      </c>
      <c r="P335" s="19">
        <v>1587.38</v>
      </c>
      <c r="Q335" s="19">
        <f t="shared" si="56"/>
        <v>591</v>
      </c>
      <c r="R335" s="19">
        <f t="shared" si="57"/>
        <v>2203.38</v>
      </c>
      <c r="S335" s="19">
        <f t="shared" si="58"/>
        <v>1549</v>
      </c>
      <c r="T335" s="19">
        <f t="shared" si="59"/>
        <v>7796.62</v>
      </c>
      <c r="U335" s="22" t="s">
        <v>36</v>
      </c>
      <c r="V335" s="27"/>
    </row>
    <row r="336" spans="1:22" ht="15.75" customHeight="1">
      <c r="A336" s="21">
        <v>321</v>
      </c>
      <c r="B336" s="21" t="s">
        <v>414</v>
      </c>
      <c r="C336" s="21" t="s">
        <v>51</v>
      </c>
      <c r="D336" s="21" t="s">
        <v>52</v>
      </c>
      <c r="E336" s="22" t="s">
        <v>29</v>
      </c>
      <c r="F336" s="19">
        <v>25000</v>
      </c>
      <c r="G336" s="20">
        <v>0</v>
      </c>
      <c r="H336" s="20">
        <v>25</v>
      </c>
      <c r="I336" s="20">
        <v>0</v>
      </c>
      <c r="J336" s="20">
        <v>0</v>
      </c>
      <c r="K336" s="20">
        <f t="shared" ref="K336:K399" si="66">F336*2.87%</f>
        <v>717.5</v>
      </c>
      <c r="L336" s="20">
        <f t="shared" ref="L336:L399" si="67">F336*7.1%</f>
        <v>1774.9999999999998</v>
      </c>
      <c r="M336" s="20">
        <v>325</v>
      </c>
      <c r="N336" s="20">
        <v>760</v>
      </c>
      <c r="O336" s="20">
        <v>1772.5</v>
      </c>
      <c r="P336" s="20">
        <v>0</v>
      </c>
      <c r="Q336" s="19">
        <f t="shared" ref="Q336:Q399" si="68">K336+N336</f>
        <v>1477.5</v>
      </c>
      <c r="R336" s="19">
        <f t="shared" ref="R336:R399" si="69">G336+H336+I336+J336+K336+N336+P336</f>
        <v>1502.5</v>
      </c>
      <c r="S336" s="19">
        <f t="shared" ref="S336:S399" si="70">L336+M336+O336</f>
        <v>3872.5</v>
      </c>
      <c r="T336" s="19">
        <f t="shared" ref="T336:T399" si="71">F336-R336</f>
        <v>23497.5</v>
      </c>
      <c r="U336" s="22" t="s">
        <v>30</v>
      </c>
    </row>
    <row r="337" spans="1:21" ht="15.75" customHeight="1">
      <c r="A337" s="17">
        <v>322</v>
      </c>
      <c r="B337" s="21" t="s">
        <v>415</v>
      </c>
      <c r="C337" s="21" t="s">
        <v>63</v>
      </c>
      <c r="D337" s="21" t="s">
        <v>98</v>
      </c>
      <c r="E337" s="22" t="s">
        <v>29</v>
      </c>
      <c r="F337" s="19">
        <v>30000</v>
      </c>
      <c r="G337" s="20">
        <v>0</v>
      </c>
      <c r="H337" s="20">
        <v>25</v>
      </c>
      <c r="I337" s="20">
        <v>0</v>
      </c>
      <c r="J337" s="20">
        <f>700+300+7440.22+7598.4</f>
        <v>16038.62</v>
      </c>
      <c r="K337" s="20">
        <f t="shared" si="66"/>
        <v>861</v>
      </c>
      <c r="L337" s="20">
        <f t="shared" si="67"/>
        <v>2130</v>
      </c>
      <c r="M337" s="20">
        <v>390</v>
      </c>
      <c r="N337" s="20">
        <v>912</v>
      </c>
      <c r="O337" s="20">
        <v>2127</v>
      </c>
      <c r="P337" s="20">
        <v>0</v>
      </c>
      <c r="Q337" s="19">
        <f t="shared" si="68"/>
        <v>1773</v>
      </c>
      <c r="R337" s="19">
        <f t="shared" si="69"/>
        <v>17836.620000000003</v>
      </c>
      <c r="S337" s="19">
        <f t="shared" si="70"/>
        <v>4647</v>
      </c>
      <c r="T337" s="19">
        <f t="shared" si="71"/>
        <v>12163.379999999997</v>
      </c>
      <c r="U337" s="22" t="s">
        <v>30</v>
      </c>
    </row>
    <row r="338" spans="1:21" ht="15.75" customHeight="1">
      <c r="A338" s="21">
        <v>323</v>
      </c>
      <c r="B338" s="21" t="s">
        <v>416</v>
      </c>
      <c r="C338" s="21" t="s">
        <v>63</v>
      </c>
      <c r="D338" s="21" t="s">
        <v>98</v>
      </c>
      <c r="E338" s="22" t="s">
        <v>29</v>
      </c>
      <c r="F338" s="19">
        <v>30000</v>
      </c>
      <c r="G338" s="20">
        <v>0</v>
      </c>
      <c r="H338" s="20">
        <v>25</v>
      </c>
      <c r="I338" s="20">
        <v>0</v>
      </c>
      <c r="J338" s="20">
        <f>1000+300+7784.14+12158.87</f>
        <v>21243.010000000002</v>
      </c>
      <c r="K338" s="20">
        <f t="shared" si="66"/>
        <v>861</v>
      </c>
      <c r="L338" s="20">
        <f t="shared" si="67"/>
        <v>2130</v>
      </c>
      <c r="M338" s="20">
        <v>390</v>
      </c>
      <c r="N338" s="20">
        <v>912</v>
      </c>
      <c r="O338" s="20">
        <v>2127</v>
      </c>
      <c r="P338" s="20">
        <v>0</v>
      </c>
      <c r="Q338" s="19">
        <f t="shared" si="68"/>
        <v>1773</v>
      </c>
      <c r="R338" s="19">
        <f t="shared" si="69"/>
        <v>23041.010000000002</v>
      </c>
      <c r="S338" s="19">
        <f t="shared" si="70"/>
        <v>4647</v>
      </c>
      <c r="T338" s="19">
        <f t="shared" si="71"/>
        <v>6958.989999999998</v>
      </c>
      <c r="U338" s="22" t="s">
        <v>30</v>
      </c>
    </row>
    <row r="339" spans="1:21" ht="15.75" customHeight="1">
      <c r="A339" s="21">
        <v>324</v>
      </c>
      <c r="B339" s="21" t="s">
        <v>417</v>
      </c>
      <c r="C339" s="21" t="s">
        <v>57</v>
      </c>
      <c r="D339" s="21" t="s">
        <v>58</v>
      </c>
      <c r="E339" s="22" t="s">
        <v>29</v>
      </c>
      <c r="F339" s="19">
        <v>15000</v>
      </c>
      <c r="G339" s="20">
        <v>0</v>
      </c>
      <c r="H339" s="20">
        <v>25</v>
      </c>
      <c r="I339" s="20">
        <v>0</v>
      </c>
      <c r="J339" s="20">
        <f>1000+300+1278.19</f>
        <v>2578.19</v>
      </c>
      <c r="K339" s="20">
        <f t="shared" si="66"/>
        <v>430.5</v>
      </c>
      <c r="L339" s="20">
        <f t="shared" si="67"/>
        <v>1065</v>
      </c>
      <c r="M339" s="20">
        <v>195</v>
      </c>
      <c r="N339" s="20">
        <v>456</v>
      </c>
      <c r="O339" s="20">
        <v>1063.5</v>
      </c>
      <c r="P339" s="20">
        <v>0</v>
      </c>
      <c r="Q339" s="19">
        <f t="shared" si="68"/>
        <v>886.5</v>
      </c>
      <c r="R339" s="19">
        <f t="shared" si="69"/>
        <v>3489.69</v>
      </c>
      <c r="S339" s="19">
        <f t="shared" si="70"/>
        <v>2323.5</v>
      </c>
      <c r="T339" s="19">
        <f t="shared" si="71"/>
        <v>11510.31</v>
      </c>
      <c r="U339" s="22" t="s">
        <v>30</v>
      </c>
    </row>
    <row r="340" spans="1:21" ht="15.75" customHeight="1">
      <c r="A340" s="17">
        <v>325</v>
      </c>
      <c r="B340" s="21" t="s">
        <v>418</v>
      </c>
      <c r="C340" s="21" t="s">
        <v>88</v>
      </c>
      <c r="D340" s="21" t="s">
        <v>61</v>
      </c>
      <c r="E340" s="22" t="s">
        <v>29</v>
      </c>
      <c r="F340" s="19">
        <v>15000</v>
      </c>
      <c r="G340" s="20">
        <v>0</v>
      </c>
      <c r="H340" s="20">
        <v>25</v>
      </c>
      <c r="I340" s="20">
        <v>1363.02</v>
      </c>
      <c r="J340" s="20">
        <f>300+300+5249.5</f>
        <v>5849.5</v>
      </c>
      <c r="K340" s="20">
        <f t="shared" si="66"/>
        <v>430.5</v>
      </c>
      <c r="L340" s="20">
        <f t="shared" si="67"/>
        <v>1065</v>
      </c>
      <c r="M340" s="20">
        <v>195</v>
      </c>
      <c r="N340" s="20">
        <v>456</v>
      </c>
      <c r="O340" s="20">
        <v>1063.5</v>
      </c>
      <c r="P340" s="20">
        <v>0</v>
      </c>
      <c r="Q340" s="19">
        <f t="shared" si="68"/>
        <v>886.5</v>
      </c>
      <c r="R340" s="19">
        <f t="shared" si="69"/>
        <v>8124.02</v>
      </c>
      <c r="S340" s="19">
        <f t="shared" si="70"/>
        <v>2323.5</v>
      </c>
      <c r="T340" s="19">
        <f t="shared" si="71"/>
        <v>6875.98</v>
      </c>
      <c r="U340" s="22" t="s">
        <v>30</v>
      </c>
    </row>
    <row r="341" spans="1:21" ht="15.75" customHeight="1">
      <c r="A341" s="21">
        <v>326</v>
      </c>
      <c r="B341" s="21" t="s">
        <v>419</v>
      </c>
      <c r="C341" s="21" t="s">
        <v>88</v>
      </c>
      <c r="D341" s="21" t="s">
        <v>98</v>
      </c>
      <c r="E341" s="22" t="s">
        <v>29</v>
      </c>
      <c r="F341" s="19">
        <v>10000</v>
      </c>
      <c r="G341" s="20">
        <v>0</v>
      </c>
      <c r="H341" s="20">
        <v>25</v>
      </c>
      <c r="I341" s="20">
        <v>0</v>
      </c>
      <c r="J341" s="20">
        <f>1000+923.89</f>
        <v>1923.8899999999999</v>
      </c>
      <c r="K341" s="20">
        <f t="shared" si="66"/>
        <v>287</v>
      </c>
      <c r="L341" s="20">
        <f t="shared" si="67"/>
        <v>709.99999999999989</v>
      </c>
      <c r="M341" s="20">
        <v>130</v>
      </c>
      <c r="N341" s="20">
        <v>304</v>
      </c>
      <c r="O341" s="20">
        <v>709</v>
      </c>
      <c r="P341" s="20">
        <v>0</v>
      </c>
      <c r="Q341" s="19">
        <f t="shared" si="68"/>
        <v>591</v>
      </c>
      <c r="R341" s="19">
        <f t="shared" si="69"/>
        <v>2539.89</v>
      </c>
      <c r="S341" s="19">
        <f t="shared" si="70"/>
        <v>1549</v>
      </c>
      <c r="T341" s="19">
        <f t="shared" si="71"/>
        <v>7460.1100000000006</v>
      </c>
      <c r="U341" s="22" t="s">
        <v>30</v>
      </c>
    </row>
    <row r="342" spans="1:21" ht="15.75" customHeight="1">
      <c r="A342" s="21">
        <v>327</v>
      </c>
      <c r="B342" s="21" t="s">
        <v>420</v>
      </c>
      <c r="C342" s="21" t="s">
        <v>51</v>
      </c>
      <c r="D342" s="21" t="s">
        <v>52</v>
      </c>
      <c r="E342" s="22" t="s">
        <v>29</v>
      </c>
      <c r="F342" s="19">
        <v>12000</v>
      </c>
      <c r="G342" s="20">
        <v>0</v>
      </c>
      <c r="H342" s="20">
        <v>25</v>
      </c>
      <c r="I342" s="20">
        <v>0</v>
      </c>
      <c r="J342" s="20">
        <v>0</v>
      </c>
      <c r="K342" s="20">
        <f t="shared" si="66"/>
        <v>344.4</v>
      </c>
      <c r="L342" s="20">
        <f t="shared" si="67"/>
        <v>851.99999999999989</v>
      </c>
      <c r="M342" s="20">
        <v>156</v>
      </c>
      <c r="N342" s="20">
        <v>364.8</v>
      </c>
      <c r="O342" s="20">
        <v>850.80000000000007</v>
      </c>
      <c r="P342" s="20">
        <v>0</v>
      </c>
      <c r="Q342" s="19">
        <f t="shared" si="68"/>
        <v>709.2</v>
      </c>
      <c r="R342" s="19">
        <f t="shared" si="69"/>
        <v>734.2</v>
      </c>
      <c r="S342" s="19">
        <f t="shared" si="70"/>
        <v>1858.8</v>
      </c>
      <c r="T342" s="19">
        <f t="shared" si="71"/>
        <v>11265.8</v>
      </c>
      <c r="U342" s="22" t="s">
        <v>30</v>
      </c>
    </row>
    <row r="343" spans="1:21" ht="15.75" customHeight="1">
      <c r="A343" s="17">
        <v>328</v>
      </c>
      <c r="B343" s="21" t="s">
        <v>421</v>
      </c>
      <c r="C343" s="21" t="s">
        <v>63</v>
      </c>
      <c r="D343" s="21" t="s">
        <v>98</v>
      </c>
      <c r="E343" s="22" t="s">
        <v>29</v>
      </c>
      <c r="F343" s="19">
        <v>20000</v>
      </c>
      <c r="G343" s="20">
        <v>0</v>
      </c>
      <c r="H343" s="20">
        <v>25</v>
      </c>
      <c r="I343" s="20">
        <v>0</v>
      </c>
      <c r="J343" s="20">
        <v>0</v>
      </c>
      <c r="K343" s="20">
        <f t="shared" si="66"/>
        <v>574</v>
      </c>
      <c r="L343" s="20">
        <f t="shared" si="67"/>
        <v>1419.9999999999998</v>
      </c>
      <c r="M343" s="20">
        <v>260</v>
      </c>
      <c r="N343" s="20">
        <v>608</v>
      </c>
      <c r="O343" s="20">
        <v>1418</v>
      </c>
      <c r="P343" s="20">
        <v>0</v>
      </c>
      <c r="Q343" s="19">
        <f t="shared" si="68"/>
        <v>1182</v>
      </c>
      <c r="R343" s="19">
        <f t="shared" si="69"/>
        <v>1207</v>
      </c>
      <c r="S343" s="19">
        <f t="shared" si="70"/>
        <v>3098</v>
      </c>
      <c r="T343" s="19">
        <f t="shared" si="71"/>
        <v>18793</v>
      </c>
      <c r="U343" s="22" t="s">
        <v>30</v>
      </c>
    </row>
    <row r="344" spans="1:21" ht="15.75" customHeight="1">
      <c r="A344" s="21">
        <v>329</v>
      </c>
      <c r="B344" s="21" t="s">
        <v>422</v>
      </c>
      <c r="C344" s="21" t="s">
        <v>154</v>
      </c>
      <c r="D344" s="21" t="s">
        <v>61</v>
      </c>
      <c r="E344" s="22" t="s">
        <v>29</v>
      </c>
      <c r="F344" s="19">
        <v>28000</v>
      </c>
      <c r="G344" s="20">
        <v>0</v>
      </c>
      <c r="H344" s="20">
        <v>25</v>
      </c>
      <c r="I344" s="20">
        <v>0</v>
      </c>
      <c r="J344" s="20">
        <v>0</v>
      </c>
      <c r="K344" s="20">
        <f t="shared" si="66"/>
        <v>803.6</v>
      </c>
      <c r="L344" s="20">
        <f t="shared" si="67"/>
        <v>1987.9999999999998</v>
      </c>
      <c r="M344" s="20">
        <v>364</v>
      </c>
      <c r="N344" s="20">
        <v>851.2</v>
      </c>
      <c r="O344" s="20">
        <v>1985.2</v>
      </c>
      <c r="P344" s="20">
        <v>0</v>
      </c>
      <c r="Q344" s="19">
        <f t="shared" si="68"/>
        <v>1654.8000000000002</v>
      </c>
      <c r="R344" s="19">
        <f t="shared" si="69"/>
        <v>1679.8000000000002</v>
      </c>
      <c r="S344" s="19">
        <f t="shared" si="70"/>
        <v>4337.2</v>
      </c>
      <c r="T344" s="19">
        <f t="shared" si="71"/>
        <v>26320.2</v>
      </c>
      <c r="U344" s="22" t="s">
        <v>30</v>
      </c>
    </row>
    <row r="345" spans="1:21" ht="15.75" customHeight="1">
      <c r="A345" s="21">
        <v>330</v>
      </c>
      <c r="B345" s="21" t="s">
        <v>423</v>
      </c>
      <c r="C345" s="21" t="s">
        <v>88</v>
      </c>
      <c r="D345" s="21" t="s">
        <v>58</v>
      </c>
      <c r="E345" s="22" t="s">
        <v>29</v>
      </c>
      <c r="F345" s="19">
        <v>12000</v>
      </c>
      <c r="G345" s="20">
        <v>0</v>
      </c>
      <c r="H345" s="20">
        <v>25</v>
      </c>
      <c r="I345" s="20">
        <v>0</v>
      </c>
      <c r="J345" s="20">
        <v>0</v>
      </c>
      <c r="K345" s="20">
        <f t="shared" si="66"/>
        <v>344.4</v>
      </c>
      <c r="L345" s="20">
        <f t="shared" si="67"/>
        <v>851.99999999999989</v>
      </c>
      <c r="M345" s="20">
        <v>156</v>
      </c>
      <c r="N345" s="20">
        <v>364.8</v>
      </c>
      <c r="O345" s="20">
        <v>850.80000000000007</v>
      </c>
      <c r="P345" s="20">
        <v>0</v>
      </c>
      <c r="Q345" s="19">
        <f t="shared" si="68"/>
        <v>709.2</v>
      </c>
      <c r="R345" s="19">
        <f t="shared" si="69"/>
        <v>734.2</v>
      </c>
      <c r="S345" s="19">
        <f t="shared" si="70"/>
        <v>1858.8</v>
      </c>
      <c r="T345" s="19">
        <f t="shared" si="71"/>
        <v>11265.8</v>
      </c>
      <c r="U345" s="22" t="s">
        <v>30</v>
      </c>
    </row>
    <row r="346" spans="1:21" ht="15.75" customHeight="1">
      <c r="A346" s="17">
        <v>331</v>
      </c>
      <c r="B346" s="21" t="s">
        <v>424</v>
      </c>
      <c r="C346" s="21" t="s">
        <v>48</v>
      </c>
      <c r="D346" s="21" t="s">
        <v>55</v>
      </c>
      <c r="E346" s="22" t="s">
        <v>29</v>
      </c>
      <c r="F346" s="19">
        <v>15000</v>
      </c>
      <c r="G346" s="20">
        <v>0</v>
      </c>
      <c r="H346" s="20">
        <v>25</v>
      </c>
      <c r="I346" s="20">
        <v>0</v>
      </c>
      <c r="J346" s="20">
        <f>700+300+1830.1</f>
        <v>2830.1</v>
      </c>
      <c r="K346" s="20">
        <f t="shared" si="66"/>
        <v>430.5</v>
      </c>
      <c r="L346" s="20">
        <f t="shared" si="67"/>
        <v>1065</v>
      </c>
      <c r="M346" s="20">
        <v>195</v>
      </c>
      <c r="N346" s="20">
        <v>456</v>
      </c>
      <c r="O346" s="20">
        <v>1063.5</v>
      </c>
      <c r="P346" s="20">
        <v>0</v>
      </c>
      <c r="Q346" s="19">
        <f t="shared" si="68"/>
        <v>886.5</v>
      </c>
      <c r="R346" s="19">
        <f t="shared" si="69"/>
        <v>3741.6</v>
      </c>
      <c r="S346" s="19">
        <f t="shared" si="70"/>
        <v>2323.5</v>
      </c>
      <c r="T346" s="19">
        <f t="shared" si="71"/>
        <v>11258.4</v>
      </c>
      <c r="U346" s="22" t="s">
        <v>36</v>
      </c>
    </row>
    <row r="347" spans="1:21" ht="15.75" customHeight="1">
      <c r="A347" s="21">
        <v>332</v>
      </c>
      <c r="B347" s="21" t="s">
        <v>425</v>
      </c>
      <c r="C347" s="21" t="s">
        <v>48</v>
      </c>
      <c r="D347" s="21" t="s">
        <v>86</v>
      </c>
      <c r="E347" s="22" t="s">
        <v>29</v>
      </c>
      <c r="F347" s="19">
        <v>25000</v>
      </c>
      <c r="G347" s="20">
        <v>0</v>
      </c>
      <c r="H347" s="20">
        <v>25</v>
      </c>
      <c r="I347" s="20">
        <v>0</v>
      </c>
      <c r="J347" s="20">
        <v>0</v>
      </c>
      <c r="K347" s="20">
        <f t="shared" si="66"/>
        <v>717.5</v>
      </c>
      <c r="L347" s="20">
        <f t="shared" si="67"/>
        <v>1774.9999999999998</v>
      </c>
      <c r="M347" s="20">
        <v>325</v>
      </c>
      <c r="N347" s="20">
        <v>760</v>
      </c>
      <c r="O347" s="20">
        <v>1772.5000000000002</v>
      </c>
      <c r="P347" s="20">
        <v>0</v>
      </c>
      <c r="Q347" s="19">
        <f t="shared" si="68"/>
        <v>1477.5</v>
      </c>
      <c r="R347" s="19">
        <f t="shared" si="69"/>
        <v>1502.5</v>
      </c>
      <c r="S347" s="19">
        <f t="shared" si="70"/>
        <v>3872.5</v>
      </c>
      <c r="T347" s="19">
        <f t="shared" si="71"/>
        <v>23497.5</v>
      </c>
      <c r="U347" s="22" t="s">
        <v>36</v>
      </c>
    </row>
    <row r="348" spans="1:21" ht="15.75" customHeight="1">
      <c r="A348" s="21">
        <v>333</v>
      </c>
      <c r="B348" s="21" t="s">
        <v>426</v>
      </c>
      <c r="C348" s="21" t="s">
        <v>355</v>
      </c>
      <c r="D348" s="21" t="s">
        <v>78</v>
      </c>
      <c r="E348" s="22" t="s">
        <v>29</v>
      </c>
      <c r="F348" s="19">
        <v>18000</v>
      </c>
      <c r="G348" s="20">
        <v>0</v>
      </c>
      <c r="H348" s="20">
        <v>25</v>
      </c>
      <c r="I348" s="20">
        <v>0</v>
      </c>
      <c r="J348" s="20">
        <v>0</v>
      </c>
      <c r="K348" s="20">
        <f t="shared" si="66"/>
        <v>516.6</v>
      </c>
      <c r="L348" s="20">
        <f t="shared" si="67"/>
        <v>1277.9999999999998</v>
      </c>
      <c r="M348" s="20">
        <v>234</v>
      </c>
      <c r="N348" s="20">
        <v>547.20000000000005</v>
      </c>
      <c r="O348" s="20">
        <v>1276.2</v>
      </c>
      <c r="P348" s="20">
        <v>0</v>
      </c>
      <c r="Q348" s="19">
        <f t="shared" si="68"/>
        <v>1063.8000000000002</v>
      </c>
      <c r="R348" s="19">
        <f t="shared" si="69"/>
        <v>1088.8000000000002</v>
      </c>
      <c r="S348" s="19">
        <f t="shared" si="70"/>
        <v>2788.2</v>
      </c>
      <c r="T348" s="19">
        <f t="shared" si="71"/>
        <v>16911.2</v>
      </c>
      <c r="U348" s="22" t="s">
        <v>30</v>
      </c>
    </row>
    <row r="349" spans="1:21" ht="15.75" customHeight="1">
      <c r="A349" s="17">
        <v>334</v>
      </c>
      <c r="B349" s="21" t="s">
        <v>427</v>
      </c>
      <c r="C349" s="21" t="s">
        <v>48</v>
      </c>
      <c r="D349" s="21" t="s">
        <v>428</v>
      </c>
      <c r="E349" s="22" t="s">
        <v>29</v>
      </c>
      <c r="F349" s="19">
        <v>20000</v>
      </c>
      <c r="G349" s="20">
        <v>0</v>
      </c>
      <c r="H349" s="20">
        <v>25</v>
      </c>
      <c r="I349" s="20">
        <v>0</v>
      </c>
      <c r="J349" s="20">
        <v>0</v>
      </c>
      <c r="K349" s="20">
        <f t="shared" si="66"/>
        <v>574</v>
      </c>
      <c r="L349" s="20">
        <f t="shared" si="67"/>
        <v>1419.9999999999998</v>
      </c>
      <c r="M349" s="20">
        <v>260</v>
      </c>
      <c r="N349" s="20">
        <v>608</v>
      </c>
      <c r="O349" s="20">
        <v>1418</v>
      </c>
      <c r="P349" s="20">
        <v>0</v>
      </c>
      <c r="Q349" s="19">
        <f t="shared" si="68"/>
        <v>1182</v>
      </c>
      <c r="R349" s="19">
        <f t="shared" si="69"/>
        <v>1207</v>
      </c>
      <c r="S349" s="19">
        <f t="shared" si="70"/>
        <v>3098</v>
      </c>
      <c r="T349" s="19">
        <f t="shared" si="71"/>
        <v>18793</v>
      </c>
      <c r="U349" s="22" t="s">
        <v>36</v>
      </c>
    </row>
    <row r="350" spans="1:21" ht="15.75" customHeight="1">
      <c r="A350" s="21">
        <v>335</v>
      </c>
      <c r="B350" s="21" t="s">
        <v>429</v>
      </c>
      <c r="C350" s="21" t="s">
        <v>143</v>
      </c>
      <c r="D350" s="21" t="s">
        <v>81</v>
      </c>
      <c r="E350" s="22" t="s">
        <v>29</v>
      </c>
      <c r="F350" s="19">
        <v>12376.75</v>
      </c>
      <c r="G350" s="20">
        <v>0</v>
      </c>
      <c r="H350" s="20">
        <v>25</v>
      </c>
      <c r="I350" s="20">
        <v>0</v>
      </c>
      <c r="J350" s="20">
        <f>500+300+1086.26</f>
        <v>1886.26</v>
      </c>
      <c r="K350" s="20">
        <f t="shared" si="66"/>
        <v>355.21272499999998</v>
      </c>
      <c r="L350" s="20">
        <f t="shared" si="67"/>
        <v>878.74924999999996</v>
      </c>
      <c r="M350" s="20">
        <v>160.9</v>
      </c>
      <c r="N350" s="20">
        <v>376.25319999999999</v>
      </c>
      <c r="O350" s="20">
        <v>877.51157500000011</v>
      </c>
      <c r="P350" s="20">
        <v>0</v>
      </c>
      <c r="Q350" s="19">
        <f t="shared" si="68"/>
        <v>731.46592499999997</v>
      </c>
      <c r="R350" s="19">
        <f t="shared" si="69"/>
        <v>2642.7259250000002</v>
      </c>
      <c r="S350" s="19">
        <f t="shared" si="70"/>
        <v>1917.1608249999999</v>
      </c>
      <c r="T350" s="19">
        <f t="shared" si="71"/>
        <v>9734.0240749999994</v>
      </c>
      <c r="U350" s="22" t="s">
        <v>36</v>
      </c>
    </row>
    <row r="351" spans="1:21" ht="15.75" customHeight="1">
      <c r="A351" s="21">
        <v>336</v>
      </c>
      <c r="B351" s="21" t="s">
        <v>430</v>
      </c>
      <c r="C351" s="21" t="s">
        <v>48</v>
      </c>
      <c r="D351" s="21" t="s">
        <v>86</v>
      </c>
      <c r="E351" s="22" t="s">
        <v>29</v>
      </c>
      <c r="F351" s="19">
        <v>30000</v>
      </c>
      <c r="G351" s="20">
        <v>0</v>
      </c>
      <c r="H351" s="20">
        <v>25</v>
      </c>
      <c r="I351" s="20">
        <v>0</v>
      </c>
      <c r="J351" s="20">
        <v>0</v>
      </c>
      <c r="K351" s="20">
        <f t="shared" si="66"/>
        <v>861</v>
      </c>
      <c r="L351" s="20">
        <f t="shared" si="67"/>
        <v>2130</v>
      </c>
      <c r="M351" s="20">
        <v>390</v>
      </c>
      <c r="N351" s="20">
        <v>912</v>
      </c>
      <c r="O351" s="20">
        <v>2127</v>
      </c>
      <c r="P351" s="19">
        <v>1587.38</v>
      </c>
      <c r="Q351" s="19">
        <f t="shared" si="68"/>
        <v>1773</v>
      </c>
      <c r="R351" s="19">
        <f t="shared" si="69"/>
        <v>3385.38</v>
      </c>
      <c r="S351" s="19">
        <f t="shared" si="70"/>
        <v>4647</v>
      </c>
      <c r="T351" s="19">
        <f t="shared" si="71"/>
        <v>26614.62</v>
      </c>
      <c r="U351" s="22" t="s">
        <v>36</v>
      </c>
    </row>
    <row r="352" spans="1:21" ht="15.75" customHeight="1">
      <c r="A352" s="17">
        <v>337</v>
      </c>
      <c r="B352" s="21" t="s">
        <v>431</v>
      </c>
      <c r="C352" s="21" t="s">
        <v>66</v>
      </c>
      <c r="D352" s="21" t="s">
        <v>72</v>
      </c>
      <c r="E352" s="22" t="s">
        <v>29</v>
      </c>
      <c r="F352" s="19">
        <v>12000</v>
      </c>
      <c r="G352" s="20">
        <v>0</v>
      </c>
      <c r="H352" s="20">
        <v>25</v>
      </c>
      <c r="I352" s="20">
        <v>0</v>
      </c>
      <c r="J352" s="20">
        <v>0</v>
      </c>
      <c r="K352" s="20">
        <f t="shared" si="66"/>
        <v>344.4</v>
      </c>
      <c r="L352" s="20">
        <f t="shared" si="67"/>
        <v>851.99999999999989</v>
      </c>
      <c r="M352" s="20">
        <v>156</v>
      </c>
      <c r="N352" s="20">
        <v>364.8</v>
      </c>
      <c r="O352" s="20">
        <v>850.80000000000007</v>
      </c>
      <c r="P352" s="20">
        <v>0</v>
      </c>
      <c r="Q352" s="19">
        <f t="shared" si="68"/>
        <v>709.2</v>
      </c>
      <c r="R352" s="19">
        <f t="shared" si="69"/>
        <v>734.2</v>
      </c>
      <c r="S352" s="19">
        <f t="shared" si="70"/>
        <v>1858.8</v>
      </c>
      <c r="T352" s="19">
        <f t="shared" si="71"/>
        <v>11265.8</v>
      </c>
      <c r="U352" s="22" t="s">
        <v>36</v>
      </c>
    </row>
    <row r="353" spans="1:21" ht="15.75" customHeight="1">
      <c r="A353" s="21">
        <v>338</v>
      </c>
      <c r="B353" s="21" t="s">
        <v>432</v>
      </c>
      <c r="C353" s="21" t="s">
        <v>71</v>
      </c>
      <c r="D353" s="21" t="s">
        <v>72</v>
      </c>
      <c r="E353" s="22" t="s">
        <v>29</v>
      </c>
      <c r="F353" s="19">
        <v>15000</v>
      </c>
      <c r="G353" s="20">
        <v>0</v>
      </c>
      <c r="H353" s="20">
        <v>25</v>
      </c>
      <c r="I353" s="20">
        <v>0</v>
      </c>
      <c r="J353" s="20">
        <v>0</v>
      </c>
      <c r="K353" s="20">
        <f t="shared" si="66"/>
        <v>430.5</v>
      </c>
      <c r="L353" s="20">
        <f t="shared" si="67"/>
        <v>1065</v>
      </c>
      <c r="M353" s="20">
        <v>195</v>
      </c>
      <c r="N353" s="20">
        <v>456</v>
      </c>
      <c r="O353" s="20">
        <v>1063.5</v>
      </c>
      <c r="P353" s="20">
        <v>0</v>
      </c>
      <c r="Q353" s="19">
        <f t="shared" si="68"/>
        <v>886.5</v>
      </c>
      <c r="R353" s="19">
        <f t="shared" si="69"/>
        <v>911.5</v>
      </c>
      <c r="S353" s="19">
        <f t="shared" si="70"/>
        <v>2323.5</v>
      </c>
      <c r="T353" s="19">
        <f t="shared" si="71"/>
        <v>14088.5</v>
      </c>
      <c r="U353" s="22" t="s">
        <v>36</v>
      </c>
    </row>
    <row r="354" spans="1:21" ht="15.75" customHeight="1">
      <c r="A354" s="21">
        <v>339</v>
      </c>
      <c r="B354" s="21" t="s">
        <v>433</v>
      </c>
      <c r="C354" s="21" t="s">
        <v>68</v>
      </c>
      <c r="D354" s="21" t="s">
        <v>69</v>
      </c>
      <c r="E354" s="22" t="s">
        <v>29</v>
      </c>
      <c r="F354" s="19">
        <v>20000</v>
      </c>
      <c r="G354" s="20">
        <v>0</v>
      </c>
      <c r="H354" s="20">
        <v>25</v>
      </c>
      <c r="I354" s="20">
        <v>0</v>
      </c>
      <c r="J354" s="20">
        <v>0</v>
      </c>
      <c r="K354" s="20">
        <f t="shared" si="66"/>
        <v>574</v>
      </c>
      <c r="L354" s="20">
        <f t="shared" si="67"/>
        <v>1419.9999999999998</v>
      </c>
      <c r="M354" s="20">
        <v>260</v>
      </c>
      <c r="N354" s="20">
        <v>608</v>
      </c>
      <c r="O354" s="20">
        <v>1418</v>
      </c>
      <c r="P354" s="20">
        <v>0</v>
      </c>
      <c r="Q354" s="19">
        <f t="shared" si="68"/>
        <v>1182</v>
      </c>
      <c r="R354" s="19">
        <f t="shared" si="69"/>
        <v>1207</v>
      </c>
      <c r="S354" s="19">
        <f t="shared" si="70"/>
        <v>3098</v>
      </c>
      <c r="T354" s="19">
        <f t="shared" si="71"/>
        <v>18793</v>
      </c>
      <c r="U354" s="22" t="s">
        <v>36</v>
      </c>
    </row>
    <row r="355" spans="1:21" ht="15.75" customHeight="1">
      <c r="A355" s="17">
        <v>340</v>
      </c>
      <c r="B355" s="21" t="s">
        <v>434</v>
      </c>
      <c r="C355" s="21" t="s">
        <v>171</v>
      </c>
      <c r="D355" s="21" t="s">
        <v>61</v>
      </c>
      <c r="E355" s="22" t="s">
        <v>29</v>
      </c>
      <c r="F355" s="19">
        <v>15000</v>
      </c>
      <c r="G355" s="20">
        <v>0</v>
      </c>
      <c r="H355" s="20">
        <v>25</v>
      </c>
      <c r="I355" s="20">
        <v>0</v>
      </c>
      <c r="J355" s="20">
        <f>500+300+3399.53+191.5</f>
        <v>4391.0300000000007</v>
      </c>
      <c r="K355" s="20">
        <f t="shared" si="66"/>
        <v>430.5</v>
      </c>
      <c r="L355" s="20">
        <f t="shared" si="67"/>
        <v>1065</v>
      </c>
      <c r="M355" s="20">
        <v>195</v>
      </c>
      <c r="N355" s="20">
        <v>456</v>
      </c>
      <c r="O355" s="20">
        <v>1063.5</v>
      </c>
      <c r="P355" s="20">
        <v>0</v>
      </c>
      <c r="Q355" s="19">
        <f t="shared" si="68"/>
        <v>886.5</v>
      </c>
      <c r="R355" s="19">
        <f t="shared" si="69"/>
        <v>5302.5300000000007</v>
      </c>
      <c r="S355" s="19">
        <f t="shared" si="70"/>
        <v>2323.5</v>
      </c>
      <c r="T355" s="19">
        <f t="shared" si="71"/>
        <v>9697.4699999999993</v>
      </c>
      <c r="U355" s="22" t="s">
        <v>30</v>
      </c>
    </row>
    <row r="356" spans="1:21" ht="15.75" customHeight="1">
      <c r="A356" s="21">
        <v>341</v>
      </c>
      <c r="B356" s="21" t="s">
        <v>435</v>
      </c>
      <c r="C356" s="21" t="s">
        <v>63</v>
      </c>
      <c r="D356" s="21" t="s">
        <v>98</v>
      </c>
      <c r="E356" s="22" t="s">
        <v>29</v>
      </c>
      <c r="F356" s="19">
        <v>30000</v>
      </c>
      <c r="G356" s="20">
        <v>0</v>
      </c>
      <c r="H356" s="20">
        <v>25</v>
      </c>
      <c r="I356" s="20">
        <v>0</v>
      </c>
      <c r="J356" s="20">
        <f>1700+300+5789.89</f>
        <v>7789.89</v>
      </c>
      <c r="K356" s="20">
        <f t="shared" si="66"/>
        <v>861</v>
      </c>
      <c r="L356" s="20">
        <f t="shared" si="67"/>
        <v>2130</v>
      </c>
      <c r="M356" s="20">
        <v>390</v>
      </c>
      <c r="N356" s="20">
        <v>912</v>
      </c>
      <c r="O356" s="20">
        <v>2127</v>
      </c>
      <c r="P356" s="20">
        <v>0</v>
      </c>
      <c r="Q356" s="19">
        <f t="shared" si="68"/>
        <v>1773</v>
      </c>
      <c r="R356" s="19">
        <f t="shared" si="69"/>
        <v>9587.89</v>
      </c>
      <c r="S356" s="19">
        <f t="shared" si="70"/>
        <v>4647</v>
      </c>
      <c r="T356" s="19">
        <f t="shared" si="71"/>
        <v>20412.11</v>
      </c>
      <c r="U356" s="22" t="s">
        <v>30</v>
      </c>
    </row>
    <row r="357" spans="1:21" ht="15.75" customHeight="1">
      <c r="A357" s="21">
        <v>342</v>
      </c>
      <c r="B357" s="21" t="s">
        <v>436</v>
      </c>
      <c r="C357" s="21" t="s">
        <v>68</v>
      </c>
      <c r="D357" s="21" t="s">
        <v>58</v>
      </c>
      <c r="E357" s="22" t="s">
        <v>29</v>
      </c>
      <c r="F357" s="19">
        <v>20000</v>
      </c>
      <c r="G357" s="20">
        <v>0</v>
      </c>
      <c r="H357" s="20">
        <v>25</v>
      </c>
      <c r="I357" s="20">
        <v>0</v>
      </c>
      <c r="J357" s="20">
        <f>500+300</f>
        <v>800</v>
      </c>
      <c r="K357" s="20">
        <f t="shared" si="66"/>
        <v>574</v>
      </c>
      <c r="L357" s="20">
        <f t="shared" si="67"/>
        <v>1419.9999999999998</v>
      </c>
      <c r="M357" s="20">
        <v>260</v>
      </c>
      <c r="N357" s="20">
        <v>608</v>
      </c>
      <c r="O357" s="20">
        <v>1418</v>
      </c>
      <c r="P357" s="20">
        <v>0</v>
      </c>
      <c r="Q357" s="19">
        <f t="shared" si="68"/>
        <v>1182</v>
      </c>
      <c r="R357" s="19">
        <f t="shared" si="69"/>
        <v>2007</v>
      </c>
      <c r="S357" s="19">
        <f t="shared" si="70"/>
        <v>3098</v>
      </c>
      <c r="T357" s="19">
        <f t="shared" si="71"/>
        <v>17993</v>
      </c>
      <c r="U357" s="22" t="s">
        <v>36</v>
      </c>
    </row>
    <row r="358" spans="1:21" ht="15.75" customHeight="1">
      <c r="A358" s="17">
        <v>343</v>
      </c>
      <c r="B358" s="21" t="s">
        <v>437</v>
      </c>
      <c r="C358" s="21" t="s">
        <v>132</v>
      </c>
      <c r="D358" s="21" t="s">
        <v>58</v>
      </c>
      <c r="E358" s="22" t="s">
        <v>29</v>
      </c>
      <c r="F358" s="19">
        <v>30000</v>
      </c>
      <c r="G358" s="20">
        <v>0</v>
      </c>
      <c r="H358" s="20">
        <v>25</v>
      </c>
      <c r="I358" s="20">
        <v>0</v>
      </c>
      <c r="J358" s="20">
        <v>0</v>
      </c>
      <c r="K358" s="20">
        <f t="shared" si="66"/>
        <v>861</v>
      </c>
      <c r="L358" s="20">
        <f t="shared" si="67"/>
        <v>2130</v>
      </c>
      <c r="M358" s="20">
        <v>390</v>
      </c>
      <c r="N358" s="20">
        <v>912</v>
      </c>
      <c r="O358" s="20">
        <v>2127</v>
      </c>
      <c r="P358" s="20">
        <v>0</v>
      </c>
      <c r="Q358" s="19">
        <f t="shared" si="68"/>
        <v>1773</v>
      </c>
      <c r="R358" s="19">
        <f t="shared" si="69"/>
        <v>1798</v>
      </c>
      <c r="S358" s="19">
        <f t="shared" si="70"/>
        <v>4647</v>
      </c>
      <c r="T358" s="19">
        <f t="shared" si="71"/>
        <v>28202</v>
      </c>
      <c r="U358" s="22" t="s">
        <v>36</v>
      </c>
    </row>
    <row r="359" spans="1:21" ht="15.75" customHeight="1">
      <c r="A359" s="21">
        <v>344</v>
      </c>
      <c r="B359" s="21" t="s">
        <v>438</v>
      </c>
      <c r="C359" s="21" t="s">
        <v>57</v>
      </c>
      <c r="D359" s="21" t="s">
        <v>58</v>
      </c>
      <c r="E359" s="22" t="s">
        <v>29</v>
      </c>
      <c r="F359" s="19">
        <v>12000</v>
      </c>
      <c r="G359" s="20">
        <v>0</v>
      </c>
      <c r="H359" s="20">
        <v>25</v>
      </c>
      <c r="I359" s="20">
        <v>0</v>
      </c>
      <c r="J359" s="20">
        <v>0</v>
      </c>
      <c r="K359" s="20">
        <f t="shared" si="66"/>
        <v>344.4</v>
      </c>
      <c r="L359" s="20">
        <f t="shared" si="67"/>
        <v>851.99999999999989</v>
      </c>
      <c r="M359" s="20">
        <v>156</v>
      </c>
      <c r="N359" s="20">
        <v>364.8</v>
      </c>
      <c r="O359" s="20">
        <v>850.80000000000007</v>
      </c>
      <c r="P359" s="20">
        <v>0</v>
      </c>
      <c r="Q359" s="19">
        <f t="shared" si="68"/>
        <v>709.2</v>
      </c>
      <c r="R359" s="19">
        <f t="shared" si="69"/>
        <v>734.2</v>
      </c>
      <c r="S359" s="19">
        <f t="shared" si="70"/>
        <v>1858.8</v>
      </c>
      <c r="T359" s="19">
        <f t="shared" si="71"/>
        <v>11265.8</v>
      </c>
      <c r="U359" s="22" t="s">
        <v>30</v>
      </c>
    </row>
    <row r="360" spans="1:21" ht="15.75" customHeight="1">
      <c r="A360" s="21">
        <v>345</v>
      </c>
      <c r="B360" s="21" t="s">
        <v>439</v>
      </c>
      <c r="C360" s="21" t="s">
        <v>51</v>
      </c>
      <c r="D360" s="21" t="s">
        <v>52</v>
      </c>
      <c r="E360" s="22" t="s">
        <v>29</v>
      </c>
      <c r="F360" s="19">
        <v>10000</v>
      </c>
      <c r="G360" s="20">
        <v>0</v>
      </c>
      <c r="H360" s="20">
        <v>25</v>
      </c>
      <c r="I360" s="20">
        <v>0</v>
      </c>
      <c r="J360" s="20">
        <v>0</v>
      </c>
      <c r="K360" s="20">
        <f t="shared" si="66"/>
        <v>287</v>
      </c>
      <c r="L360" s="20">
        <f t="shared" si="67"/>
        <v>709.99999999999989</v>
      </c>
      <c r="M360" s="20">
        <v>130</v>
      </c>
      <c r="N360" s="20">
        <v>304</v>
      </c>
      <c r="O360" s="20">
        <v>709</v>
      </c>
      <c r="P360" s="20">
        <v>0</v>
      </c>
      <c r="Q360" s="19">
        <f t="shared" si="68"/>
        <v>591</v>
      </c>
      <c r="R360" s="19">
        <f t="shared" si="69"/>
        <v>616</v>
      </c>
      <c r="S360" s="19">
        <f t="shared" si="70"/>
        <v>1549</v>
      </c>
      <c r="T360" s="19">
        <f t="shared" si="71"/>
        <v>9384</v>
      </c>
      <c r="U360" s="22" t="s">
        <v>30</v>
      </c>
    </row>
    <row r="361" spans="1:21" ht="15.75" customHeight="1">
      <c r="A361" s="17">
        <v>346</v>
      </c>
      <c r="B361" s="21" t="s">
        <v>440</v>
      </c>
      <c r="C361" s="21" t="s">
        <v>66</v>
      </c>
      <c r="D361" s="21" t="s">
        <v>78</v>
      </c>
      <c r="E361" s="22" t="s">
        <v>29</v>
      </c>
      <c r="F361" s="19">
        <v>22000</v>
      </c>
      <c r="G361" s="20">
        <v>0</v>
      </c>
      <c r="H361" s="20">
        <v>25</v>
      </c>
      <c r="I361" s="20">
        <v>0</v>
      </c>
      <c r="J361" s="20">
        <v>0</v>
      </c>
      <c r="K361" s="20">
        <f t="shared" si="66"/>
        <v>631.4</v>
      </c>
      <c r="L361" s="20">
        <f t="shared" si="67"/>
        <v>1561.9999999999998</v>
      </c>
      <c r="M361" s="20">
        <v>286</v>
      </c>
      <c r="N361" s="20">
        <v>668.8</v>
      </c>
      <c r="O361" s="20">
        <v>1559.8000000000002</v>
      </c>
      <c r="P361" s="20">
        <v>0</v>
      </c>
      <c r="Q361" s="19">
        <f t="shared" si="68"/>
        <v>1300.1999999999998</v>
      </c>
      <c r="R361" s="19">
        <f t="shared" si="69"/>
        <v>1325.1999999999998</v>
      </c>
      <c r="S361" s="19">
        <f t="shared" si="70"/>
        <v>3407.8</v>
      </c>
      <c r="T361" s="19">
        <f t="shared" si="71"/>
        <v>20674.8</v>
      </c>
      <c r="U361" s="22" t="s">
        <v>30</v>
      </c>
    </row>
    <row r="362" spans="1:21" ht="15.75" customHeight="1">
      <c r="A362" s="21">
        <v>347</v>
      </c>
      <c r="B362" s="21" t="s">
        <v>441</v>
      </c>
      <c r="C362" s="21" t="s">
        <v>57</v>
      </c>
      <c r="D362" s="21" t="s">
        <v>58</v>
      </c>
      <c r="E362" s="22" t="s">
        <v>29</v>
      </c>
      <c r="F362" s="19">
        <v>15000</v>
      </c>
      <c r="G362" s="20">
        <v>0</v>
      </c>
      <c r="H362" s="20">
        <v>25</v>
      </c>
      <c r="I362" s="20">
        <v>0</v>
      </c>
      <c r="J362" s="20">
        <v>0</v>
      </c>
      <c r="K362" s="20">
        <f t="shared" si="66"/>
        <v>430.5</v>
      </c>
      <c r="L362" s="20">
        <f t="shared" si="67"/>
        <v>1065</v>
      </c>
      <c r="M362" s="20">
        <v>195</v>
      </c>
      <c r="N362" s="20">
        <v>456</v>
      </c>
      <c r="O362" s="20">
        <v>1063.5</v>
      </c>
      <c r="P362" s="20">
        <v>0</v>
      </c>
      <c r="Q362" s="19">
        <f t="shared" si="68"/>
        <v>886.5</v>
      </c>
      <c r="R362" s="19">
        <f t="shared" si="69"/>
        <v>911.5</v>
      </c>
      <c r="S362" s="19">
        <f t="shared" si="70"/>
        <v>2323.5</v>
      </c>
      <c r="T362" s="19">
        <f t="shared" si="71"/>
        <v>14088.5</v>
      </c>
      <c r="U362" s="22" t="s">
        <v>36</v>
      </c>
    </row>
    <row r="363" spans="1:21" ht="15.75" customHeight="1">
      <c r="A363" s="21">
        <v>348</v>
      </c>
      <c r="B363" s="21" t="s">
        <v>442</v>
      </c>
      <c r="C363" s="21" t="s">
        <v>71</v>
      </c>
      <c r="D363" s="21" t="s">
        <v>72</v>
      </c>
      <c r="E363" s="22" t="s">
        <v>29</v>
      </c>
      <c r="F363" s="19">
        <v>10000</v>
      </c>
      <c r="G363" s="20">
        <v>0</v>
      </c>
      <c r="H363" s="20">
        <v>25</v>
      </c>
      <c r="I363" s="20">
        <v>0</v>
      </c>
      <c r="J363" s="20">
        <f>700+300+1040.13</f>
        <v>2040.13</v>
      </c>
      <c r="K363" s="20">
        <f t="shared" si="66"/>
        <v>287</v>
      </c>
      <c r="L363" s="20">
        <f t="shared" si="67"/>
        <v>709.99999999999989</v>
      </c>
      <c r="M363" s="20">
        <v>130</v>
      </c>
      <c r="N363" s="20">
        <v>304</v>
      </c>
      <c r="O363" s="20">
        <v>709</v>
      </c>
      <c r="P363" s="20">
        <v>0</v>
      </c>
      <c r="Q363" s="19">
        <f t="shared" si="68"/>
        <v>591</v>
      </c>
      <c r="R363" s="19">
        <f t="shared" si="69"/>
        <v>2656.13</v>
      </c>
      <c r="S363" s="19">
        <f t="shared" si="70"/>
        <v>1549</v>
      </c>
      <c r="T363" s="19">
        <f t="shared" si="71"/>
        <v>7343.87</v>
      </c>
      <c r="U363" s="22" t="s">
        <v>36</v>
      </c>
    </row>
    <row r="364" spans="1:21" ht="15.75" customHeight="1">
      <c r="A364" s="17">
        <v>349</v>
      </c>
      <c r="B364" s="21" t="s">
        <v>443</v>
      </c>
      <c r="C364" s="21" t="s">
        <v>77</v>
      </c>
      <c r="D364" s="21" t="s">
        <v>58</v>
      </c>
      <c r="E364" s="22" t="s">
        <v>29</v>
      </c>
      <c r="F364" s="19">
        <v>10000</v>
      </c>
      <c r="G364" s="20">
        <v>0</v>
      </c>
      <c r="H364" s="20">
        <v>25</v>
      </c>
      <c r="I364" s="20">
        <v>0</v>
      </c>
      <c r="J364" s="20">
        <v>0</v>
      </c>
      <c r="K364" s="20">
        <f t="shared" si="66"/>
        <v>287</v>
      </c>
      <c r="L364" s="20">
        <f t="shared" si="67"/>
        <v>709.99999999999989</v>
      </c>
      <c r="M364" s="20">
        <v>130</v>
      </c>
      <c r="N364" s="20">
        <v>304</v>
      </c>
      <c r="O364" s="20">
        <v>709</v>
      </c>
      <c r="P364" s="20">
        <v>0</v>
      </c>
      <c r="Q364" s="19">
        <f t="shared" si="68"/>
        <v>591</v>
      </c>
      <c r="R364" s="19">
        <f t="shared" si="69"/>
        <v>616</v>
      </c>
      <c r="S364" s="19">
        <f t="shared" si="70"/>
        <v>1549</v>
      </c>
      <c r="T364" s="19">
        <f t="shared" si="71"/>
        <v>9384</v>
      </c>
      <c r="U364" s="22" t="s">
        <v>36</v>
      </c>
    </row>
    <row r="365" spans="1:21" ht="15.75" customHeight="1">
      <c r="A365" s="21">
        <v>350</v>
      </c>
      <c r="B365" s="21" t="s">
        <v>444</v>
      </c>
      <c r="C365" s="21" t="s">
        <v>68</v>
      </c>
      <c r="D365" s="21" t="s">
        <v>58</v>
      </c>
      <c r="E365" s="22" t="s">
        <v>29</v>
      </c>
      <c r="F365" s="19">
        <v>10000</v>
      </c>
      <c r="G365" s="20">
        <v>0</v>
      </c>
      <c r="H365" s="20">
        <v>25</v>
      </c>
      <c r="I365" s="20">
        <v>0</v>
      </c>
      <c r="J365" s="20">
        <f>1000+1073.19</f>
        <v>2073.19</v>
      </c>
      <c r="K365" s="20">
        <f t="shared" si="66"/>
        <v>287</v>
      </c>
      <c r="L365" s="20">
        <f t="shared" si="67"/>
        <v>709.99999999999989</v>
      </c>
      <c r="M365" s="20">
        <v>130</v>
      </c>
      <c r="N365" s="20">
        <v>304</v>
      </c>
      <c r="O365" s="20">
        <v>709</v>
      </c>
      <c r="P365" s="20">
        <v>0</v>
      </c>
      <c r="Q365" s="19">
        <f t="shared" si="68"/>
        <v>591</v>
      </c>
      <c r="R365" s="19">
        <f t="shared" si="69"/>
        <v>2689.19</v>
      </c>
      <c r="S365" s="19">
        <f t="shared" si="70"/>
        <v>1549</v>
      </c>
      <c r="T365" s="19">
        <f t="shared" si="71"/>
        <v>7310.8099999999995</v>
      </c>
      <c r="U365" s="22" t="s">
        <v>36</v>
      </c>
    </row>
    <row r="366" spans="1:21" ht="15.75" customHeight="1">
      <c r="A366" s="21">
        <v>351</v>
      </c>
      <c r="B366" s="21" t="s">
        <v>445</v>
      </c>
      <c r="C366" s="21" t="s">
        <v>51</v>
      </c>
      <c r="D366" s="21" t="s">
        <v>52</v>
      </c>
      <c r="E366" s="22" t="s">
        <v>29</v>
      </c>
      <c r="F366" s="19">
        <v>15000</v>
      </c>
      <c r="G366" s="20">
        <v>0</v>
      </c>
      <c r="H366" s="20">
        <v>25</v>
      </c>
      <c r="I366" s="20">
        <v>0</v>
      </c>
      <c r="J366" s="20">
        <v>0</v>
      </c>
      <c r="K366" s="20">
        <f t="shared" si="66"/>
        <v>430.5</v>
      </c>
      <c r="L366" s="20">
        <f t="shared" si="67"/>
        <v>1065</v>
      </c>
      <c r="M366" s="20">
        <v>195</v>
      </c>
      <c r="N366" s="20">
        <v>456</v>
      </c>
      <c r="O366" s="20">
        <v>1063.5</v>
      </c>
      <c r="P366" s="20">
        <v>0</v>
      </c>
      <c r="Q366" s="19">
        <f t="shared" si="68"/>
        <v>886.5</v>
      </c>
      <c r="R366" s="19">
        <f t="shared" si="69"/>
        <v>911.5</v>
      </c>
      <c r="S366" s="19">
        <f t="shared" si="70"/>
        <v>2323.5</v>
      </c>
      <c r="T366" s="19">
        <f t="shared" si="71"/>
        <v>14088.5</v>
      </c>
      <c r="U366" s="22" t="s">
        <v>30</v>
      </c>
    </row>
    <row r="367" spans="1:21" ht="15.75" customHeight="1">
      <c r="A367" s="17">
        <v>352</v>
      </c>
      <c r="B367" s="21" t="s">
        <v>446</v>
      </c>
      <c r="C367" s="21" t="s">
        <v>68</v>
      </c>
      <c r="D367" s="21" t="s">
        <v>35</v>
      </c>
      <c r="E367" s="22" t="s">
        <v>29</v>
      </c>
      <c r="F367" s="19">
        <v>18000</v>
      </c>
      <c r="G367" s="20">
        <v>0</v>
      </c>
      <c r="H367" s="20">
        <v>25</v>
      </c>
      <c r="I367" s="20">
        <v>0</v>
      </c>
      <c r="J367" s="20">
        <v>0</v>
      </c>
      <c r="K367" s="20">
        <f t="shared" si="66"/>
        <v>516.6</v>
      </c>
      <c r="L367" s="20">
        <f t="shared" si="67"/>
        <v>1277.9999999999998</v>
      </c>
      <c r="M367" s="20">
        <v>234</v>
      </c>
      <c r="N367" s="20">
        <v>547.20000000000005</v>
      </c>
      <c r="O367" s="20">
        <v>1276.2</v>
      </c>
      <c r="P367" s="20">
        <v>0</v>
      </c>
      <c r="Q367" s="19">
        <f t="shared" si="68"/>
        <v>1063.8000000000002</v>
      </c>
      <c r="R367" s="19">
        <f t="shared" si="69"/>
        <v>1088.8000000000002</v>
      </c>
      <c r="S367" s="19">
        <f t="shared" si="70"/>
        <v>2788.2</v>
      </c>
      <c r="T367" s="19">
        <f t="shared" si="71"/>
        <v>16911.2</v>
      </c>
      <c r="U367" s="22" t="s">
        <v>36</v>
      </c>
    </row>
    <row r="368" spans="1:21" ht="15.75" customHeight="1">
      <c r="A368" s="21">
        <v>353</v>
      </c>
      <c r="B368" s="21" t="s">
        <v>447</v>
      </c>
      <c r="C368" s="21" t="s">
        <v>63</v>
      </c>
      <c r="D368" s="21" t="s">
        <v>98</v>
      </c>
      <c r="E368" s="22" t="s">
        <v>29</v>
      </c>
      <c r="F368" s="19">
        <v>20000</v>
      </c>
      <c r="G368" s="20">
        <v>0</v>
      </c>
      <c r="H368" s="20">
        <v>25</v>
      </c>
      <c r="I368" s="20">
        <v>0</v>
      </c>
      <c r="J368" s="20">
        <v>0</v>
      </c>
      <c r="K368" s="20">
        <f t="shared" si="66"/>
        <v>574</v>
      </c>
      <c r="L368" s="20">
        <f t="shared" si="67"/>
        <v>1419.9999999999998</v>
      </c>
      <c r="M368" s="20">
        <v>260</v>
      </c>
      <c r="N368" s="20">
        <v>608</v>
      </c>
      <c r="O368" s="20">
        <v>1418</v>
      </c>
      <c r="P368" s="20">
        <v>0</v>
      </c>
      <c r="Q368" s="19">
        <f t="shared" si="68"/>
        <v>1182</v>
      </c>
      <c r="R368" s="19">
        <f t="shared" si="69"/>
        <v>1207</v>
      </c>
      <c r="S368" s="19">
        <f t="shared" si="70"/>
        <v>3098</v>
      </c>
      <c r="T368" s="19">
        <f t="shared" si="71"/>
        <v>18793</v>
      </c>
      <c r="U368" s="22" t="s">
        <v>30</v>
      </c>
    </row>
    <row r="369" spans="1:21" ht="15.75" customHeight="1">
      <c r="A369" s="21">
        <v>354</v>
      </c>
      <c r="B369" s="21" t="s">
        <v>448</v>
      </c>
      <c r="C369" s="21" t="s">
        <v>71</v>
      </c>
      <c r="D369" s="21" t="s">
        <v>72</v>
      </c>
      <c r="E369" s="22" t="s">
        <v>302</v>
      </c>
      <c r="F369" s="19">
        <v>10000</v>
      </c>
      <c r="G369" s="20">
        <v>0</v>
      </c>
      <c r="H369" s="20">
        <v>25</v>
      </c>
      <c r="I369" s="20">
        <v>0</v>
      </c>
      <c r="J369" s="20">
        <v>0</v>
      </c>
      <c r="K369" s="20">
        <f t="shared" si="66"/>
        <v>287</v>
      </c>
      <c r="L369" s="20">
        <f t="shared" si="67"/>
        <v>709.99999999999989</v>
      </c>
      <c r="M369" s="20">
        <v>130</v>
      </c>
      <c r="N369" s="20">
        <v>304</v>
      </c>
      <c r="O369" s="20">
        <v>709</v>
      </c>
      <c r="P369" s="20">
        <v>0</v>
      </c>
      <c r="Q369" s="19">
        <f t="shared" si="68"/>
        <v>591</v>
      </c>
      <c r="R369" s="19">
        <f t="shared" si="69"/>
        <v>616</v>
      </c>
      <c r="S369" s="19">
        <f t="shared" si="70"/>
        <v>1549</v>
      </c>
      <c r="T369" s="19">
        <f t="shared" si="71"/>
        <v>9384</v>
      </c>
      <c r="U369" s="22" t="s">
        <v>36</v>
      </c>
    </row>
    <row r="370" spans="1:21" ht="15.75" customHeight="1">
      <c r="A370" s="17">
        <v>355</v>
      </c>
      <c r="B370" s="21" t="s">
        <v>449</v>
      </c>
      <c r="C370" s="21" t="s">
        <v>68</v>
      </c>
      <c r="D370" s="21" t="s">
        <v>72</v>
      </c>
      <c r="E370" s="22" t="s">
        <v>29</v>
      </c>
      <c r="F370" s="19">
        <v>15000</v>
      </c>
      <c r="G370" s="20">
        <v>0</v>
      </c>
      <c r="H370" s="20">
        <v>25</v>
      </c>
      <c r="I370" s="20">
        <v>0</v>
      </c>
      <c r="J370" s="20">
        <v>0</v>
      </c>
      <c r="K370" s="20">
        <f t="shared" si="66"/>
        <v>430.5</v>
      </c>
      <c r="L370" s="20">
        <f t="shared" si="67"/>
        <v>1065</v>
      </c>
      <c r="M370" s="20">
        <v>195</v>
      </c>
      <c r="N370" s="20">
        <v>456</v>
      </c>
      <c r="O370" s="20">
        <v>1063.5</v>
      </c>
      <c r="P370" s="20">
        <v>0</v>
      </c>
      <c r="Q370" s="19">
        <f t="shared" si="68"/>
        <v>886.5</v>
      </c>
      <c r="R370" s="19">
        <f t="shared" si="69"/>
        <v>911.5</v>
      </c>
      <c r="S370" s="19">
        <f t="shared" si="70"/>
        <v>2323.5</v>
      </c>
      <c r="T370" s="19">
        <f t="shared" si="71"/>
        <v>14088.5</v>
      </c>
      <c r="U370" s="22" t="s">
        <v>36</v>
      </c>
    </row>
    <row r="371" spans="1:21" ht="15.75" customHeight="1">
      <c r="A371" s="21">
        <v>356</v>
      </c>
      <c r="B371" s="21" t="s">
        <v>450</v>
      </c>
      <c r="C371" s="21" t="s">
        <v>57</v>
      </c>
      <c r="D371" s="21" t="s">
        <v>72</v>
      </c>
      <c r="E371" s="22" t="s">
        <v>29</v>
      </c>
      <c r="F371" s="19">
        <v>10000</v>
      </c>
      <c r="G371" s="20">
        <v>0</v>
      </c>
      <c r="H371" s="20">
        <v>25</v>
      </c>
      <c r="I371" s="20">
        <v>0</v>
      </c>
      <c r="J371" s="20">
        <v>0</v>
      </c>
      <c r="K371" s="20">
        <f t="shared" si="66"/>
        <v>287</v>
      </c>
      <c r="L371" s="20">
        <f t="shared" si="67"/>
        <v>709.99999999999989</v>
      </c>
      <c r="M371" s="20">
        <v>130</v>
      </c>
      <c r="N371" s="20">
        <v>304</v>
      </c>
      <c r="O371" s="20">
        <v>709</v>
      </c>
      <c r="P371" s="20">
        <v>0</v>
      </c>
      <c r="Q371" s="19">
        <f t="shared" si="68"/>
        <v>591</v>
      </c>
      <c r="R371" s="19">
        <f t="shared" si="69"/>
        <v>616</v>
      </c>
      <c r="S371" s="19">
        <f t="shared" si="70"/>
        <v>1549</v>
      </c>
      <c r="T371" s="19">
        <f t="shared" si="71"/>
        <v>9384</v>
      </c>
      <c r="U371" s="22" t="s">
        <v>30</v>
      </c>
    </row>
    <row r="372" spans="1:21" ht="15.75" customHeight="1">
      <c r="A372" s="21">
        <v>357</v>
      </c>
      <c r="B372" s="21" t="s">
        <v>451</v>
      </c>
      <c r="C372" s="21" t="s">
        <v>63</v>
      </c>
      <c r="D372" s="21" t="s">
        <v>98</v>
      </c>
      <c r="E372" s="22" t="s">
        <v>29</v>
      </c>
      <c r="F372" s="19">
        <v>22000</v>
      </c>
      <c r="G372" s="20">
        <v>0</v>
      </c>
      <c r="H372" s="20">
        <v>25</v>
      </c>
      <c r="I372" s="20">
        <v>0</v>
      </c>
      <c r="J372" s="20">
        <v>0</v>
      </c>
      <c r="K372" s="20">
        <f t="shared" si="66"/>
        <v>631.4</v>
      </c>
      <c r="L372" s="20">
        <f t="shared" si="67"/>
        <v>1561.9999999999998</v>
      </c>
      <c r="M372" s="20">
        <v>286</v>
      </c>
      <c r="N372" s="20">
        <v>668.8</v>
      </c>
      <c r="O372" s="20">
        <v>1559.8000000000002</v>
      </c>
      <c r="P372" s="20">
        <v>0</v>
      </c>
      <c r="Q372" s="19">
        <f t="shared" si="68"/>
        <v>1300.1999999999998</v>
      </c>
      <c r="R372" s="19">
        <f t="shared" si="69"/>
        <v>1325.1999999999998</v>
      </c>
      <c r="S372" s="19">
        <f t="shared" si="70"/>
        <v>3407.8</v>
      </c>
      <c r="T372" s="19">
        <f t="shared" si="71"/>
        <v>20674.8</v>
      </c>
      <c r="U372" s="22" t="s">
        <v>30</v>
      </c>
    </row>
    <row r="373" spans="1:21" ht="15.75" customHeight="1">
      <c r="A373" s="17">
        <v>358</v>
      </c>
      <c r="B373" s="21" t="s">
        <v>452</v>
      </c>
      <c r="C373" s="21" t="s">
        <v>57</v>
      </c>
      <c r="D373" s="21" t="s">
        <v>58</v>
      </c>
      <c r="E373" s="22" t="s">
        <v>29</v>
      </c>
      <c r="F373" s="19">
        <v>15000</v>
      </c>
      <c r="G373" s="20">
        <v>0</v>
      </c>
      <c r="H373" s="20">
        <v>25</v>
      </c>
      <c r="I373" s="20">
        <v>0</v>
      </c>
      <c r="J373" s="20">
        <v>0</v>
      </c>
      <c r="K373" s="20">
        <f t="shared" si="66"/>
        <v>430.5</v>
      </c>
      <c r="L373" s="20">
        <f t="shared" si="67"/>
        <v>1065</v>
      </c>
      <c r="M373" s="20">
        <v>195</v>
      </c>
      <c r="N373" s="20">
        <v>456</v>
      </c>
      <c r="O373" s="20">
        <v>1063.5</v>
      </c>
      <c r="P373" s="20">
        <v>0</v>
      </c>
      <c r="Q373" s="19">
        <f t="shared" si="68"/>
        <v>886.5</v>
      </c>
      <c r="R373" s="19">
        <f t="shared" si="69"/>
        <v>911.5</v>
      </c>
      <c r="S373" s="19">
        <f t="shared" si="70"/>
        <v>2323.5</v>
      </c>
      <c r="T373" s="19">
        <f t="shared" si="71"/>
        <v>14088.5</v>
      </c>
      <c r="U373" s="22" t="s">
        <v>30</v>
      </c>
    </row>
    <row r="374" spans="1:21" ht="15.75" customHeight="1">
      <c r="A374" s="21">
        <v>359</v>
      </c>
      <c r="B374" s="21" t="s">
        <v>453</v>
      </c>
      <c r="C374" s="21" t="s">
        <v>66</v>
      </c>
      <c r="D374" s="21" t="s">
        <v>72</v>
      </c>
      <c r="E374" s="22" t="s">
        <v>29</v>
      </c>
      <c r="F374" s="19">
        <v>35000</v>
      </c>
      <c r="G374" s="20">
        <v>0</v>
      </c>
      <c r="H374" s="20">
        <v>25</v>
      </c>
      <c r="I374" s="20">
        <v>0</v>
      </c>
      <c r="J374" s="20">
        <v>0</v>
      </c>
      <c r="K374" s="20">
        <f t="shared" si="66"/>
        <v>1004.5</v>
      </c>
      <c r="L374" s="20">
        <f t="shared" si="67"/>
        <v>2485</v>
      </c>
      <c r="M374" s="20">
        <v>455</v>
      </c>
      <c r="N374" s="20">
        <v>1064</v>
      </c>
      <c r="O374" s="20">
        <v>2481.5</v>
      </c>
      <c r="P374" s="20">
        <v>0</v>
      </c>
      <c r="Q374" s="19">
        <f t="shared" si="68"/>
        <v>2068.5</v>
      </c>
      <c r="R374" s="19">
        <f t="shared" si="69"/>
        <v>2093.5</v>
      </c>
      <c r="S374" s="19">
        <f t="shared" si="70"/>
        <v>5421.5</v>
      </c>
      <c r="T374" s="19">
        <f t="shared" si="71"/>
        <v>32906.5</v>
      </c>
      <c r="U374" s="22" t="s">
        <v>30</v>
      </c>
    </row>
    <row r="375" spans="1:21" ht="15.75" customHeight="1">
      <c r="A375" s="21">
        <v>360</v>
      </c>
      <c r="B375" s="21" t="s">
        <v>454</v>
      </c>
      <c r="C375" s="21" t="s">
        <v>63</v>
      </c>
      <c r="D375" s="21" t="s">
        <v>98</v>
      </c>
      <c r="E375" s="22" t="s">
        <v>29</v>
      </c>
      <c r="F375" s="19">
        <v>25000</v>
      </c>
      <c r="G375" s="20">
        <v>0</v>
      </c>
      <c r="H375" s="20">
        <v>25</v>
      </c>
      <c r="I375" s="20">
        <v>0</v>
      </c>
      <c r="J375" s="20">
        <v>0</v>
      </c>
      <c r="K375" s="20">
        <f t="shared" si="66"/>
        <v>717.5</v>
      </c>
      <c r="L375" s="20">
        <f t="shared" si="67"/>
        <v>1774.9999999999998</v>
      </c>
      <c r="M375" s="20">
        <v>325</v>
      </c>
      <c r="N375" s="20">
        <v>760</v>
      </c>
      <c r="O375" s="20">
        <v>1772.5000000000002</v>
      </c>
      <c r="P375" s="20">
        <v>0</v>
      </c>
      <c r="Q375" s="19">
        <f t="shared" si="68"/>
        <v>1477.5</v>
      </c>
      <c r="R375" s="19">
        <f t="shared" si="69"/>
        <v>1502.5</v>
      </c>
      <c r="S375" s="19">
        <f t="shared" si="70"/>
        <v>3872.5</v>
      </c>
      <c r="T375" s="19">
        <f t="shared" si="71"/>
        <v>23497.5</v>
      </c>
      <c r="U375" s="22" t="s">
        <v>30</v>
      </c>
    </row>
    <row r="376" spans="1:21" ht="15.75" customHeight="1">
      <c r="A376" s="17">
        <v>361</v>
      </c>
      <c r="B376" s="21" t="s">
        <v>455</v>
      </c>
      <c r="C376" s="21" t="s">
        <v>71</v>
      </c>
      <c r="D376" s="21" t="s">
        <v>456</v>
      </c>
      <c r="E376" s="22" t="s">
        <v>29</v>
      </c>
      <c r="F376" s="19">
        <v>15000</v>
      </c>
      <c r="G376" s="20">
        <v>0</v>
      </c>
      <c r="H376" s="20">
        <v>25</v>
      </c>
      <c r="I376" s="20">
        <v>0</v>
      </c>
      <c r="J376" s="20">
        <f>500+300+2505.79</f>
        <v>3305.79</v>
      </c>
      <c r="K376" s="20">
        <f t="shared" si="66"/>
        <v>430.5</v>
      </c>
      <c r="L376" s="20">
        <f t="shared" si="67"/>
        <v>1065</v>
      </c>
      <c r="M376" s="20">
        <v>195</v>
      </c>
      <c r="N376" s="20">
        <v>456</v>
      </c>
      <c r="O376" s="20">
        <v>1063.5</v>
      </c>
      <c r="P376" s="20">
        <v>0</v>
      </c>
      <c r="Q376" s="19">
        <f t="shared" si="68"/>
        <v>886.5</v>
      </c>
      <c r="R376" s="19">
        <f t="shared" si="69"/>
        <v>4217.29</v>
      </c>
      <c r="S376" s="19">
        <f t="shared" si="70"/>
        <v>2323.5</v>
      </c>
      <c r="T376" s="19">
        <f t="shared" si="71"/>
        <v>10782.71</v>
      </c>
      <c r="U376" s="22" t="s">
        <v>30</v>
      </c>
    </row>
    <row r="377" spans="1:21" ht="15.75" customHeight="1">
      <c r="A377" s="21">
        <v>362</v>
      </c>
      <c r="B377" s="21" t="s">
        <v>457</v>
      </c>
      <c r="C377" s="21" t="s">
        <v>68</v>
      </c>
      <c r="D377" s="21" t="s">
        <v>135</v>
      </c>
      <c r="E377" s="22" t="s">
        <v>29</v>
      </c>
      <c r="F377" s="19">
        <v>20000</v>
      </c>
      <c r="G377" s="20">
        <v>0</v>
      </c>
      <c r="H377" s="20">
        <v>25</v>
      </c>
      <c r="I377" s="20">
        <v>0</v>
      </c>
      <c r="J377" s="20">
        <v>0</v>
      </c>
      <c r="K377" s="20">
        <f t="shared" si="66"/>
        <v>574</v>
      </c>
      <c r="L377" s="20">
        <f t="shared" si="67"/>
        <v>1419.9999999999998</v>
      </c>
      <c r="M377" s="20">
        <v>260</v>
      </c>
      <c r="N377" s="20">
        <v>608</v>
      </c>
      <c r="O377" s="20">
        <v>1418</v>
      </c>
      <c r="P377" s="20">
        <v>0</v>
      </c>
      <c r="Q377" s="19">
        <f t="shared" si="68"/>
        <v>1182</v>
      </c>
      <c r="R377" s="19">
        <f t="shared" si="69"/>
        <v>1207</v>
      </c>
      <c r="S377" s="19">
        <f t="shared" si="70"/>
        <v>3098</v>
      </c>
      <c r="T377" s="19">
        <f t="shared" si="71"/>
        <v>18793</v>
      </c>
      <c r="U377" s="22" t="s">
        <v>30</v>
      </c>
    </row>
    <row r="378" spans="1:21" ht="15.75" customHeight="1">
      <c r="A378" s="21">
        <v>363</v>
      </c>
      <c r="B378" s="21" t="s">
        <v>458</v>
      </c>
      <c r="C378" s="21" t="s">
        <v>77</v>
      </c>
      <c r="D378" s="21" t="s">
        <v>78</v>
      </c>
      <c r="E378" s="22" t="s">
        <v>29</v>
      </c>
      <c r="F378" s="19">
        <v>10000</v>
      </c>
      <c r="G378" s="20">
        <v>0</v>
      </c>
      <c r="H378" s="20">
        <v>25</v>
      </c>
      <c r="I378" s="20">
        <v>0</v>
      </c>
      <c r="J378" s="20">
        <v>0</v>
      </c>
      <c r="K378" s="20">
        <f t="shared" si="66"/>
        <v>287</v>
      </c>
      <c r="L378" s="20">
        <f t="shared" si="67"/>
        <v>709.99999999999989</v>
      </c>
      <c r="M378" s="20">
        <v>130</v>
      </c>
      <c r="N378" s="20">
        <v>304</v>
      </c>
      <c r="O378" s="20">
        <v>709</v>
      </c>
      <c r="P378" s="20">
        <v>0</v>
      </c>
      <c r="Q378" s="19">
        <f t="shared" si="68"/>
        <v>591</v>
      </c>
      <c r="R378" s="19">
        <f t="shared" si="69"/>
        <v>616</v>
      </c>
      <c r="S378" s="19">
        <f t="shared" si="70"/>
        <v>1549</v>
      </c>
      <c r="T378" s="19">
        <f t="shared" si="71"/>
        <v>9384</v>
      </c>
      <c r="U378" s="22" t="s">
        <v>30</v>
      </c>
    </row>
    <row r="379" spans="1:21" ht="15.75" customHeight="1">
      <c r="A379" s="17">
        <v>364</v>
      </c>
      <c r="B379" s="21" t="s">
        <v>459</v>
      </c>
      <c r="C379" s="21" t="s">
        <v>77</v>
      </c>
      <c r="D379" s="21" t="s">
        <v>78</v>
      </c>
      <c r="E379" s="22" t="s">
        <v>29</v>
      </c>
      <c r="F379" s="19">
        <v>10000</v>
      </c>
      <c r="G379" s="20">
        <v>0</v>
      </c>
      <c r="H379" s="20">
        <v>25</v>
      </c>
      <c r="I379" s="20">
        <v>0</v>
      </c>
      <c r="J379" s="20">
        <v>0</v>
      </c>
      <c r="K379" s="20">
        <f t="shared" si="66"/>
        <v>287</v>
      </c>
      <c r="L379" s="20">
        <f t="shared" si="67"/>
        <v>709.99999999999989</v>
      </c>
      <c r="M379" s="20">
        <v>130</v>
      </c>
      <c r="N379" s="20">
        <v>304</v>
      </c>
      <c r="O379" s="20">
        <v>709</v>
      </c>
      <c r="P379" s="20">
        <v>0</v>
      </c>
      <c r="Q379" s="19">
        <f t="shared" si="68"/>
        <v>591</v>
      </c>
      <c r="R379" s="19">
        <f t="shared" si="69"/>
        <v>616</v>
      </c>
      <c r="S379" s="19">
        <f t="shared" si="70"/>
        <v>1549</v>
      </c>
      <c r="T379" s="19">
        <f t="shared" si="71"/>
        <v>9384</v>
      </c>
      <c r="U379" s="22" t="s">
        <v>30</v>
      </c>
    </row>
    <row r="380" spans="1:21" ht="15.75" customHeight="1">
      <c r="A380" s="21">
        <v>365</v>
      </c>
      <c r="B380" s="21" t="s">
        <v>460</v>
      </c>
      <c r="C380" s="21" t="s">
        <v>57</v>
      </c>
      <c r="D380" s="21" t="s">
        <v>58</v>
      </c>
      <c r="E380" s="22" t="s">
        <v>29</v>
      </c>
      <c r="F380" s="19">
        <v>15000</v>
      </c>
      <c r="G380" s="20">
        <v>0</v>
      </c>
      <c r="H380" s="20">
        <v>25</v>
      </c>
      <c r="I380" s="20">
        <v>0</v>
      </c>
      <c r="J380" s="20">
        <f>300+1000+1097.82</f>
        <v>2397.8199999999997</v>
      </c>
      <c r="K380" s="20">
        <f t="shared" si="66"/>
        <v>430.5</v>
      </c>
      <c r="L380" s="20">
        <f t="shared" si="67"/>
        <v>1065</v>
      </c>
      <c r="M380" s="20">
        <v>195</v>
      </c>
      <c r="N380" s="20">
        <v>456</v>
      </c>
      <c r="O380" s="20">
        <v>1063.5</v>
      </c>
      <c r="P380" s="20">
        <v>0</v>
      </c>
      <c r="Q380" s="19">
        <f t="shared" si="68"/>
        <v>886.5</v>
      </c>
      <c r="R380" s="19">
        <f t="shared" si="69"/>
        <v>3309.3199999999997</v>
      </c>
      <c r="S380" s="19">
        <f t="shared" si="70"/>
        <v>2323.5</v>
      </c>
      <c r="T380" s="19">
        <f t="shared" si="71"/>
        <v>11690.68</v>
      </c>
      <c r="U380" s="22" t="s">
        <v>30</v>
      </c>
    </row>
    <row r="381" spans="1:21" ht="15.75" customHeight="1">
      <c r="A381" s="21">
        <v>366</v>
      </c>
      <c r="B381" s="21" t="s">
        <v>461</v>
      </c>
      <c r="C381" s="21" t="s">
        <v>88</v>
      </c>
      <c r="D381" s="21" t="s">
        <v>58</v>
      </c>
      <c r="E381" s="22" t="s">
        <v>29</v>
      </c>
      <c r="F381" s="19">
        <v>15000</v>
      </c>
      <c r="G381" s="20">
        <v>0</v>
      </c>
      <c r="H381" s="20">
        <v>25</v>
      </c>
      <c r="I381" s="20">
        <v>0</v>
      </c>
      <c r="J381" s="20">
        <f>500+500+1087.52+713.2</f>
        <v>2800.7200000000003</v>
      </c>
      <c r="K381" s="20">
        <f t="shared" si="66"/>
        <v>430.5</v>
      </c>
      <c r="L381" s="20">
        <f t="shared" si="67"/>
        <v>1065</v>
      </c>
      <c r="M381" s="20">
        <v>195</v>
      </c>
      <c r="N381" s="20">
        <v>456</v>
      </c>
      <c r="O381" s="20">
        <v>1063.5</v>
      </c>
      <c r="P381" s="20">
        <v>0</v>
      </c>
      <c r="Q381" s="19">
        <f t="shared" si="68"/>
        <v>886.5</v>
      </c>
      <c r="R381" s="19">
        <f t="shared" si="69"/>
        <v>3712.2200000000003</v>
      </c>
      <c r="S381" s="19">
        <f t="shared" si="70"/>
        <v>2323.5</v>
      </c>
      <c r="T381" s="19">
        <f t="shared" si="71"/>
        <v>11287.779999999999</v>
      </c>
      <c r="U381" s="22" t="s">
        <v>36</v>
      </c>
    </row>
    <row r="382" spans="1:21" ht="15.75" customHeight="1">
      <c r="A382" s="17">
        <v>367</v>
      </c>
      <c r="B382" s="21" t="s">
        <v>462</v>
      </c>
      <c r="C382" s="21" t="s">
        <v>88</v>
      </c>
      <c r="D382" s="21" t="s">
        <v>58</v>
      </c>
      <c r="E382" s="22" t="s">
        <v>29</v>
      </c>
      <c r="F382" s="19">
        <v>15000</v>
      </c>
      <c r="G382" s="20">
        <v>0</v>
      </c>
      <c r="H382" s="20">
        <v>25</v>
      </c>
      <c r="I382" s="20">
        <v>0</v>
      </c>
      <c r="J382" s="20">
        <v>0</v>
      </c>
      <c r="K382" s="20">
        <f t="shared" si="66"/>
        <v>430.5</v>
      </c>
      <c r="L382" s="20">
        <f t="shared" si="67"/>
        <v>1065</v>
      </c>
      <c r="M382" s="20">
        <v>195</v>
      </c>
      <c r="N382" s="20">
        <v>456</v>
      </c>
      <c r="O382" s="20">
        <v>1063.5</v>
      </c>
      <c r="P382" s="20">
        <v>0</v>
      </c>
      <c r="Q382" s="19">
        <f t="shared" si="68"/>
        <v>886.5</v>
      </c>
      <c r="R382" s="19">
        <f t="shared" si="69"/>
        <v>911.5</v>
      </c>
      <c r="S382" s="19">
        <f t="shared" si="70"/>
        <v>2323.5</v>
      </c>
      <c r="T382" s="19">
        <f t="shared" si="71"/>
        <v>14088.5</v>
      </c>
      <c r="U382" s="22" t="s">
        <v>36</v>
      </c>
    </row>
    <row r="383" spans="1:21" ht="15.75" customHeight="1">
      <c r="A383" s="21">
        <v>368</v>
      </c>
      <c r="B383" s="21" t="s">
        <v>463</v>
      </c>
      <c r="C383" s="21" t="s">
        <v>68</v>
      </c>
      <c r="D383" s="21" t="s">
        <v>86</v>
      </c>
      <c r="E383" s="22" t="s">
        <v>29</v>
      </c>
      <c r="F383" s="19">
        <v>16000</v>
      </c>
      <c r="G383" s="20">
        <v>0</v>
      </c>
      <c r="H383" s="20">
        <v>25</v>
      </c>
      <c r="I383" s="20">
        <v>0</v>
      </c>
      <c r="J383" s="20">
        <v>0</v>
      </c>
      <c r="K383" s="20">
        <f t="shared" si="66"/>
        <v>459.2</v>
      </c>
      <c r="L383" s="20">
        <f t="shared" si="67"/>
        <v>1136</v>
      </c>
      <c r="M383" s="20">
        <v>208</v>
      </c>
      <c r="N383" s="20">
        <v>486.4</v>
      </c>
      <c r="O383" s="20">
        <v>1134.4000000000001</v>
      </c>
      <c r="P383" s="20">
        <v>0</v>
      </c>
      <c r="Q383" s="19">
        <f t="shared" si="68"/>
        <v>945.59999999999991</v>
      </c>
      <c r="R383" s="19">
        <f t="shared" si="69"/>
        <v>970.59999999999991</v>
      </c>
      <c r="S383" s="19">
        <f t="shared" si="70"/>
        <v>2478.4</v>
      </c>
      <c r="T383" s="19">
        <f t="shared" si="71"/>
        <v>15029.4</v>
      </c>
      <c r="U383" s="22" t="s">
        <v>36</v>
      </c>
    </row>
    <row r="384" spans="1:21" ht="15.75" customHeight="1">
      <c r="A384" s="21">
        <v>369</v>
      </c>
      <c r="B384" s="21" t="s">
        <v>464</v>
      </c>
      <c r="C384" s="21" t="s">
        <v>77</v>
      </c>
      <c r="D384" s="21" t="s">
        <v>61</v>
      </c>
      <c r="E384" s="22" t="s">
        <v>29</v>
      </c>
      <c r="F384" s="19">
        <v>15000</v>
      </c>
      <c r="G384" s="20">
        <v>0</v>
      </c>
      <c r="H384" s="20">
        <v>25</v>
      </c>
      <c r="I384" s="20">
        <v>0</v>
      </c>
      <c r="J384" s="20">
        <v>0</v>
      </c>
      <c r="K384" s="20">
        <f t="shared" si="66"/>
        <v>430.5</v>
      </c>
      <c r="L384" s="20">
        <f t="shared" si="67"/>
        <v>1065</v>
      </c>
      <c r="M384" s="20">
        <v>195</v>
      </c>
      <c r="N384" s="20">
        <v>456</v>
      </c>
      <c r="O384" s="20">
        <v>1063.5</v>
      </c>
      <c r="P384" s="20">
        <v>0</v>
      </c>
      <c r="Q384" s="19">
        <f t="shared" si="68"/>
        <v>886.5</v>
      </c>
      <c r="R384" s="19">
        <f t="shared" si="69"/>
        <v>911.5</v>
      </c>
      <c r="S384" s="19">
        <f t="shared" si="70"/>
        <v>2323.5</v>
      </c>
      <c r="T384" s="19">
        <f t="shared" si="71"/>
        <v>14088.5</v>
      </c>
      <c r="U384" s="22" t="s">
        <v>30</v>
      </c>
    </row>
    <row r="385" spans="1:21" ht="15.75" customHeight="1">
      <c r="A385" s="17">
        <v>370</v>
      </c>
      <c r="B385" s="21" t="s">
        <v>465</v>
      </c>
      <c r="C385" s="21" t="s">
        <v>88</v>
      </c>
      <c r="D385" s="21" t="s">
        <v>466</v>
      </c>
      <c r="E385" s="22" t="s">
        <v>29</v>
      </c>
      <c r="F385" s="19">
        <v>10000</v>
      </c>
      <c r="G385" s="20">
        <v>0</v>
      </c>
      <c r="H385" s="20">
        <v>25</v>
      </c>
      <c r="I385" s="20">
        <v>0</v>
      </c>
      <c r="J385" s="20">
        <v>0</v>
      </c>
      <c r="K385" s="20">
        <f t="shared" si="66"/>
        <v>287</v>
      </c>
      <c r="L385" s="20">
        <f t="shared" si="67"/>
        <v>709.99999999999989</v>
      </c>
      <c r="M385" s="20">
        <v>130</v>
      </c>
      <c r="N385" s="20">
        <v>304</v>
      </c>
      <c r="O385" s="20">
        <v>709</v>
      </c>
      <c r="P385" s="20">
        <v>0</v>
      </c>
      <c r="Q385" s="19">
        <f t="shared" si="68"/>
        <v>591</v>
      </c>
      <c r="R385" s="19">
        <f t="shared" si="69"/>
        <v>616</v>
      </c>
      <c r="S385" s="19">
        <f t="shared" si="70"/>
        <v>1549</v>
      </c>
      <c r="T385" s="19">
        <f t="shared" si="71"/>
        <v>9384</v>
      </c>
      <c r="U385" s="22" t="s">
        <v>30</v>
      </c>
    </row>
    <row r="386" spans="1:21" ht="15.75" customHeight="1">
      <c r="A386" s="21">
        <v>371</v>
      </c>
      <c r="B386" s="21" t="s">
        <v>467</v>
      </c>
      <c r="C386" s="21" t="s">
        <v>283</v>
      </c>
      <c r="D386" s="21" t="s">
        <v>61</v>
      </c>
      <c r="E386" s="22" t="s">
        <v>29</v>
      </c>
      <c r="F386" s="19">
        <v>33000</v>
      </c>
      <c r="G386" s="20">
        <v>0</v>
      </c>
      <c r="H386" s="20">
        <v>25</v>
      </c>
      <c r="I386" s="20">
        <v>0</v>
      </c>
      <c r="J386" s="20">
        <v>0</v>
      </c>
      <c r="K386" s="20">
        <f t="shared" si="66"/>
        <v>947.1</v>
      </c>
      <c r="L386" s="20">
        <f t="shared" si="67"/>
        <v>2343</v>
      </c>
      <c r="M386" s="20">
        <v>429</v>
      </c>
      <c r="N386" s="20">
        <v>1003.2</v>
      </c>
      <c r="O386" s="20">
        <v>2339.7000000000003</v>
      </c>
      <c r="P386" s="19">
        <v>1587.38</v>
      </c>
      <c r="Q386" s="19">
        <f t="shared" si="68"/>
        <v>1950.3000000000002</v>
      </c>
      <c r="R386" s="19">
        <f t="shared" si="69"/>
        <v>3562.6800000000003</v>
      </c>
      <c r="S386" s="19">
        <f t="shared" si="70"/>
        <v>5111.7000000000007</v>
      </c>
      <c r="T386" s="19">
        <f t="shared" si="71"/>
        <v>29437.32</v>
      </c>
      <c r="U386" s="22" t="s">
        <v>30</v>
      </c>
    </row>
    <row r="387" spans="1:21" ht="15.75" customHeight="1">
      <c r="A387" s="21">
        <v>372</v>
      </c>
      <c r="B387" s="21" t="s">
        <v>468</v>
      </c>
      <c r="C387" s="21" t="s">
        <v>77</v>
      </c>
      <c r="D387" s="21" t="s">
        <v>58</v>
      </c>
      <c r="E387" s="22" t="s">
        <v>29</v>
      </c>
      <c r="F387" s="19">
        <v>15000</v>
      </c>
      <c r="G387" s="20">
        <v>0</v>
      </c>
      <c r="H387" s="20">
        <v>25</v>
      </c>
      <c r="I387" s="20">
        <v>0</v>
      </c>
      <c r="J387" s="20">
        <v>0</v>
      </c>
      <c r="K387" s="20">
        <f t="shared" si="66"/>
        <v>430.5</v>
      </c>
      <c r="L387" s="20">
        <f t="shared" si="67"/>
        <v>1065</v>
      </c>
      <c r="M387" s="20">
        <v>195</v>
      </c>
      <c r="N387" s="20">
        <v>456</v>
      </c>
      <c r="O387" s="20">
        <v>1063.5</v>
      </c>
      <c r="P387" s="20">
        <v>0</v>
      </c>
      <c r="Q387" s="19">
        <f t="shared" si="68"/>
        <v>886.5</v>
      </c>
      <c r="R387" s="19">
        <f t="shared" si="69"/>
        <v>911.5</v>
      </c>
      <c r="S387" s="19">
        <f t="shared" si="70"/>
        <v>2323.5</v>
      </c>
      <c r="T387" s="19">
        <f t="shared" si="71"/>
        <v>14088.5</v>
      </c>
      <c r="U387" s="22" t="s">
        <v>30</v>
      </c>
    </row>
    <row r="388" spans="1:21" ht="15.75" customHeight="1">
      <c r="A388" s="17">
        <v>373</v>
      </c>
      <c r="B388" s="21" t="s">
        <v>469</v>
      </c>
      <c r="C388" s="21" t="s">
        <v>51</v>
      </c>
      <c r="D388" s="21" t="s">
        <v>52</v>
      </c>
      <c r="E388" s="22" t="s">
        <v>29</v>
      </c>
      <c r="F388" s="19">
        <v>13500</v>
      </c>
      <c r="G388" s="20">
        <v>0</v>
      </c>
      <c r="H388" s="20">
        <v>25</v>
      </c>
      <c r="I388" s="20">
        <v>0</v>
      </c>
      <c r="J388" s="20">
        <v>0</v>
      </c>
      <c r="K388" s="20">
        <f t="shared" si="66"/>
        <v>387.45</v>
      </c>
      <c r="L388" s="20">
        <f t="shared" si="67"/>
        <v>958.49999999999989</v>
      </c>
      <c r="M388" s="20">
        <v>175.5</v>
      </c>
      <c r="N388" s="20">
        <v>410.4</v>
      </c>
      <c r="O388" s="20">
        <v>957.15000000000009</v>
      </c>
      <c r="P388" s="20">
        <v>0</v>
      </c>
      <c r="Q388" s="19">
        <f t="shared" si="68"/>
        <v>797.84999999999991</v>
      </c>
      <c r="R388" s="19">
        <f t="shared" si="69"/>
        <v>822.84999999999991</v>
      </c>
      <c r="S388" s="19">
        <f t="shared" si="70"/>
        <v>2091.15</v>
      </c>
      <c r="T388" s="19">
        <f t="shared" si="71"/>
        <v>12677.15</v>
      </c>
      <c r="U388" s="22" t="s">
        <v>30</v>
      </c>
    </row>
    <row r="389" spans="1:21" ht="15.75" customHeight="1">
      <c r="A389" s="21">
        <v>374</v>
      </c>
      <c r="B389" s="21" t="s">
        <v>470</v>
      </c>
      <c r="C389" s="21" t="s">
        <v>88</v>
      </c>
      <c r="D389" s="21" t="s">
        <v>61</v>
      </c>
      <c r="E389" s="22" t="s">
        <v>29</v>
      </c>
      <c r="F389" s="19">
        <v>10000</v>
      </c>
      <c r="G389" s="20">
        <v>0</v>
      </c>
      <c r="H389" s="20">
        <v>25</v>
      </c>
      <c r="I389" s="20">
        <v>0</v>
      </c>
      <c r="J389" s="20">
        <v>0</v>
      </c>
      <c r="K389" s="20">
        <f t="shared" si="66"/>
        <v>287</v>
      </c>
      <c r="L389" s="20">
        <f t="shared" si="67"/>
        <v>709.99999999999989</v>
      </c>
      <c r="M389" s="20">
        <v>130</v>
      </c>
      <c r="N389" s="20">
        <v>304</v>
      </c>
      <c r="O389" s="20">
        <v>709</v>
      </c>
      <c r="P389" s="20">
        <v>0</v>
      </c>
      <c r="Q389" s="19">
        <f t="shared" si="68"/>
        <v>591</v>
      </c>
      <c r="R389" s="19">
        <f t="shared" si="69"/>
        <v>616</v>
      </c>
      <c r="S389" s="19">
        <f t="shared" si="70"/>
        <v>1549</v>
      </c>
      <c r="T389" s="19">
        <f t="shared" si="71"/>
        <v>9384</v>
      </c>
      <c r="U389" s="22" t="s">
        <v>30</v>
      </c>
    </row>
    <row r="390" spans="1:21" ht="15.75" customHeight="1">
      <c r="A390" s="21">
        <v>375</v>
      </c>
      <c r="B390" s="21" t="s">
        <v>471</v>
      </c>
      <c r="C390" s="21" t="s">
        <v>88</v>
      </c>
      <c r="D390" s="21" t="s">
        <v>58</v>
      </c>
      <c r="E390" s="22" t="s">
        <v>29</v>
      </c>
      <c r="F390" s="19">
        <v>10000</v>
      </c>
      <c r="G390" s="20">
        <v>0</v>
      </c>
      <c r="H390" s="20">
        <v>25</v>
      </c>
      <c r="I390" s="20">
        <v>0</v>
      </c>
      <c r="J390" s="20">
        <f>1000+300+2079.06</f>
        <v>3379.06</v>
      </c>
      <c r="K390" s="20">
        <f t="shared" si="66"/>
        <v>287</v>
      </c>
      <c r="L390" s="20">
        <f t="shared" si="67"/>
        <v>709.99999999999989</v>
      </c>
      <c r="M390" s="20">
        <v>130</v>
      </c>
      <c r="N390" s="20">
        <v>304</v>
      </c>
      <c r="O390" s="20">
        <v>709</v>
      </c>
      <c r="P390" s="20">
        <v>0</v>
      </c>
      <c r="Q390" s="19">
        <f t="shared" si="68"/>
        <v>591</v>
      </c>
      <c r="R390" s="19">
        <f t="shared" si="69"/>
        <v>3995.06</v>
      </c>
      <c r="S390" s="19">
        <f t="shared" si="70"/>
        <v>1549</v>
      </c>
      <c r="T390" s="19">
        <f t="shared" si="71"/>
        <v>6004.9400000000005</v>
      </c>
      <c r="U390" s="22" t="s">
        <v>36</v>
      </c>
    </row>
    <row r="391" spans="1:21" ht="15.75" customHeight="1">
      <c r="A391" s="17">
        <v>376</v>
      </c>
      <c r="B391" s="21" t="s">
        <v>472</v>
      </c>
      <c r="C391" s="21" t="s">
        <v>68</v>
      </c>
      <c r="D391" s="21" t="s">
        <v>41</v>
      </c>
      <c r="E391" s="22" t="s">
        <v>29</v>
      </c>
      <c r="F391" s="19">
        <v>25000</v>
      </c>
      <c r="G391" s="20">
        <v>0</v>
      </c>
      <c r="H391" s="20">
        <v>25</v>
      </c>
      <c r="I391" s="20">
        <v>0</v>
      </c>
      <c r="J391" s="20">
        <f>700+1000+2833.45</f>
        <v>4533.45</v>
      </c>
      <c r="K391" s="20">
        <f t="shared" si="66"/>
        <v>717.5</v>
      </c>
      <c r="L391" s="20">
        <f t="shared" si="67"/>
        <v>1774.9999999999998</v>
      </c>
      <c r="M391" s="20">
        <v>325</v>
      </c>
      <c r="N391" s="20">
        <v>760</v>
      </c>
      <c r="O391" s="20">
        <v>1772.5000000000002</v>
      </c>
      <c r="P391" s="20">
        <v>0</v>
      </c>
      <c r="Q391" s="19">
        <f t="shared" si="68"/>
        <v>1477.5</v>
      </c>
      <c r="R391" s="19">
        <f t="shared" si="69"/>
        <v>6035.95</v>
      </c>
      <c r="S391" s="19">
        <f t="shared" si="70"/>
        <v>3872.5</v>
      </c>
      <c r="T391" s="19">
        <f t="shared" si="71"/>
        <v>18964.05</v>
      </c>
      <c r="U391" s="22" t="s">
        <v>36</v>
      </c>
    </row>
    <row r="392" spans="1:21" ht="15.75" customHeight="1">
      <c r="A392" s="21">
        <v>377</v>
      </c>
      <c r="B392" s="21" t="s">
        <v>473</v>
      </c>
      <c r="C392" s="21" t="s">
        <v>66</v>
      </c>
      <c r="D392" s="21" t="s">
        <v>78</v>
      </c>
      <c r="E392" s="28" t="s">
        <v>29</v>
      </c>
      <c r="F392" s="19">
        <v>20000</v>
      </c>
      <c r="G392" s="20">
        <v>0</v>
      </c>
      <c r="H392" s="20">
        <v>25</v>
      </c>
      <c r="I392" s="20">
        <v>0</v>
      </c>
      <c r="J392" s="20">
        <v>0</v>
      </c>
      <c r="K392" s="20">
        <f t="shared" si="66"/>
        <v>574</v>
      </c>
      <c r="L392" s="20">
        <f t="shared" si="67"/>
        <v>1419.9999999999998</v>
      </c>
      <c r="M392" s="20">
        <v>260</v>
      </c>
      <c r="N392" s="20">
        <v>608</v>
      </c>
      <c r="O392" s="20">
        <v>1418</v>
      </c>
      <c r="P392" s="20">
        <v>0</v>
      </c>
      <c r="Q392" s="19">
        <f t="shared" si="68"/>
        <v>1182</v>
      </c>
      <c r="R392" s="19">
        <f t="shared" si="69"/>
        <v>1207</v>
      </c>
      <c r="S392" s="19">
        <f t="shared" si="70"/>
        <v>3098</v>
      </c>
      <c r="T392" s="19">
        <f t="shared" si="71"/>
        <v>18793</v>
      </c>
      <c r="U392" s="22" t="s">
        <v>30</v>
      </c>
    </row>
    <row r="393" spans="1:21" ht="15.75" customHeight="1">
      <c r="A393" s="21">
        <v>378</v>
      </c>
      <c r="B393" s="21" t="s">
        <v>474</v>
      </c>
      <c r="C393" s="21" t="s">
        <v>88</v>
      </c>
      <c r="D393" s="21" t="s">
        <v>61</v>
      </c>
      <c r="E393" s="22" t="s">
        <v>29</v>
      </c>
      <c r="F393" s="19">
        <v>15000</v>
      </c>
      <c r="G393" s="20">
        <v>0</v>
      </c>
      <c r="H393" s="20">
        <v>25</v>
      </c>
      <c r="I393" s="20">
        <v>0</v>
      </c>
      <c r="J393" s="20">
        <v>0</v>
      </c>
      <c r="K393" s="20">
        <f t="shared" si="66"/>
        <v>430.5</v>
      </c>
      <c r="L393" s="20">
        <f t="shared" si="67"/>
        <v>1065</v>
      </c>
      <c r="M393" s="20">
        <v>195</v>
      </c>
      <c r="N393" s="20">
        <v>456</v>
      </c>
      <c r="O393" s="20">
        <v>1063.5</v>
      </c>
      <c r="P393" s="20">
        <v>0</v>
      </c>
      <c r="Q393" s="19">
        <f t="shared" si="68"/>
        <v>886.5</v>
      </c>
      <c r="R393" s="19">
        <f t="shared" si="69"/>
        <v>911.5</v>
      </c>
      <c r="S393" s="19">
        <f t="shared" si="70"/>
        <v>2323.5</v>
      </c>
      <c r="T393" s="19">
        <f t="shared" si="71"/>
        <v>14088.5</v>
      </c>
      <c r="U393" s="22" t="s">
        <v>30</v>
      </c>
    </row>
    <row r="394" spans="1:21" ht="15.75" customHeight="1">
      <c r="A394" s="17">
        <v>379</v>
      </c>
      <c r="B394" s="21" t="s">
        <v>475</v>
      </c>
      <c r="C394" s="21" t="s">
        <v>68</v>
      </c>
      <c r="D394" s="21" t="s">
        <v>476</v>
      </c>
      <c r="E394" s="22" t="s">
        <v>29</v>
      </c>
      <c r="F394" s="19">
        <v>18000</v>
      </c>
      <c r="G394" s="20">
        <v>0</v>
      </c>
      <c r="H394" s="20">
        <v>25</v>
      </c>
      <c r="I394" s="20">
        <v>0</v>
      </c>
      <c r="J394" s="20">
        <v>0</v>
      </c>
      <c r="K394" s="20">
        <f t="shared" si="66"/>
        <v>516.6</v>
      </c>
      <c r="L394" s="20">
        <f t="shared" si="67"/>
        <v>1277.9999999999998</v>
      </c>
      <c r="M394" s="20">
        <v>234</v>
      </c>
      <c r="N394" s="20">
        <v>547.20000000000005</v>
      </c>
      <c r="O394" s="20">
        <v>1276.2</v>
      </c>
      <c r="P394" s="20">
        <v>0</v>
      </c>
      <c r="Q394" s="19">
        <f t="shared" si="68"/>
        <v>1063.8000000000002</v>
      </c>
      <c r="R394" s="19">
        <f t="shared" si="69"/>
        <v>1088.8000000000002</v>
      </c>
      <c r="S394" s="19">
        <f t="shared" si="70"/>
        <v>2788.2</v>
      </c>
      <c r="T394" s="19">
        <f t="shared" si="71"/>
        <v>16911.2</v>
      </c>
      <c r="U394" s="22" t="s">
        <v>36</v>
      </c>
    </row>
    <row r="395" spans="1:21" ht="15.75" customHeight="1">
      <c r="A395" s="21">
        <v>380</v>
      </c>
      <c r="B395" s="21" t="s">
        <v>477</v>
      </c>
      <c r="C395" s="21" t="s">
        <v>66</v>
      </c>
      <c r="D395" s="21" t="s">
        <v>61</v>
      </c>
      <c r="E395" s="22" t="s">
        <v>29</v>
      </c>
      <c r="F395" s="19">
        <v>30000</v>
      </c>
      <c r="G395" s="20">
        <v>0</v>
      </c>
      <c r="H395" s="20">
        <v>25</v>
      </c>
      <c r="I395" s="20">
        <v>0</v>
      </c>
      <c r="J395" s="20">
        <v>0</v>
      </c>
      <c r="K395" s="20">
        <f t="shared" si="66"/>
        <v>861</v>
      </c>
      <c r="L395" s="20">
        <f t="shared" si="67"/>
        <v>2130</v>
      </c>
      <c r="M395" s="20">
        <v>390</v>
      </c>
      <c r="N395" s="20">
        <v>912</v>
      </c>
      <c r="O395" s="20">
        <v>2127</v>
      </c>
      <c r="P395" s="20">
        <v>0</v>
      </c>
      <c r="Q395" s="19">
        <f t="shared" si="68"/>
        <v>1773</v>
      </c>
      <c r="R395" s="19">
        <f t="shared" si="69"/>
        <v>1798</v>
      </c>
      <c r="S395" s="19">
        <f t="shared" si="70"/>
        <v>4647</v>
      </c>
      <c r="T395" s="19">
        <f t="shared" si="71"/>
        <v>28202</v>
      </c>
      <c r="U395" s="22" t="s">
        <v>36</v>
      </c>
    </row>
    <row r="396" spans="1:21" ht="15.75" customHeight="1">
      <c r="A396" s="21">
        <v>381</v>
      </c>
      <c r="B396" s="21" t="s">
        <v>478</v>
      </c>
      <c r="C396" s="21" t="s">
        <v>68</v>
      </c>
      <c r="D396" s="21" t="s">
        <v>55</v>
      </c>
      <c r="E396" s="22" t="s">
        <v>29</v>
      </c>
      <c r="F396" s="19">
        <v>12000</v>
      </c>
      <c r="G396" s="20">
        <v>0</v>
      </c>
      <c r="H396" s="20">
        <v>25</v>
      </c>
      <c r="I396" s="20">
        <v>0</v>
      </c>
      <c r="J396" s="20">
        <v>0</v>
      </c>
      <c r="K396" s="20">
        <f t="shared" si="66"/>
        <v>344.4</v>
      </c>
      <c r="L396" s="20">
        <f t="shared" si="67"/>
        <v>851.99999999999989</v>
      </c>
      <c r="M396" s="20">
        <v>156</v>
      </c>
      <c r="N396" s="20">
        <v>364.8</v>
      </c>
      <c r="O396" s="20">
        <v>850.80000000000007</v>
      </c>
      <c r="P396" s="20">
        <v>0</v>
      </c>
      <c r="Q396" s="19">
        <f t="shared" si="68"/>
        <v>709.2</v>
      </c>
      <c r="R396" s="19">
        <f t="shared" si="69"/>
        <v>734.2</v>
      </c>
      <c r="S396" s="19">
        <f t="shared" si="70"/>
        <v>1858.8</v>
      </c>
      <c r="T396" s="19">
        <f t="shared" si="71"/>
        <v>11265.8</v>
      </c>
      <c r="U396" s="22" t="s">
        <v>36</v>
      </c>
    </row>
    <row r="397" spans="1:21" ht="15.75" customHeight="1">
      <c r="A397" s="17">
        <v>382</v>
      </c>
      <c r="B397" s="21" t="s">
        <v>479</v>
      </c>
      <c r="C397" s="23" t="s">
        <v>77</v>
      </c>
      <c r="D397" s="21" t="s">
        <v>61</v>
      </c>
      <c r="E397" s="22" t="s">
        <v>29</v>
      </c>
      <c r="F397" s="19">
        <v>10000</v>
      </c>
      <c r="G397" s="20">
        <v>0</v>
      </c>
      <c r="H397" s="20">
        <v>25</v>
      </c>
      <c r="I397" s="20">
        <v>0</v>
      </c>
      <c r="J397" s="20">
        <v>0</v>
      </c>
      <c r="K397" s="20">
        <f t="shared" si="66"/>
        <v>287</v>
      </c>
      <c r="L397" s="20">
        <f t="shared" si="67"/>
        <v>709.99999999999989</v>
      </c>
      <c r="M397" s="20">
        <v>130</v>
      </c>
      <c r="N397" s="20">
        <v>304</v>
      </c>
      <c r="O397" s="20">
        <v>709</v>
      </c>
      <c r="P397" s="20">
        <v>0</v>
      </c>
      <c r="Q397" s="19">
        <f t="shared" si="68"/>
        <v>591</v>
      </c>
      <c r="R397" s="19">
        <f t="shared" si="69"/>
        <v>616</v>
      </c>
      <c r="S397" s="19">
        <f t="shared" si="70"/>
        <v>1549</v>
      </c>
      <c r="T397" s="19">
        <f t="shared" si="71"/>
        <v>9384</v>
      </c>
      <c r="U397" s="22" t="s">
        <v>36</v>
      </c>
    </row>
    <row r="398" spans="1:21" ht="15.75" customHeight="1">
      <c r="A398" s="21">
        <v>383</v>
      </c>
      <c r="B398" s="21" t="s">
        <v>480</v>
      </c>
      <c r="C398" s="23" t="s">
        <v>77</v>
      </c>
      <c r="D398" s="21" t="s">
        <v>61</v>
      </c>
      <c r="E398" s="22" t="s">
        <v>29</v>
      </c>
      <c r="F398" s="19">
        <v>11000</v>
      </c>
      <c r="G398" s="20">
        <v>0</v>
      </c>
      <c r="H398" s="20">
        <v>25</v>
      </c>
      <c r="I398" s="20">
        <v>0</v>
      </c>
      <c r="J398" s="20">
        <v>0</v>
      </c>
      <c r="K398" s="20">
        <f t="shared" si="66"/>
        <v>315.7</v>
      </c>
      <c r="L398" s="20">
        <f t="shared" si="67"/>
        <v>780.99999999999989</v>
      </c>
      <c r="M398" s="20">
        <v>143</v>
      </c>
      <c r="N398" s="20">
        <v>334.4</v>
      </c>
      <c r="O398" s="20">
        <v>779.90000000000009</v>
      </c>
      <c r="P398" s="20">
        <v>0</v>
      </c>
      <c r="Q398" s="19">
        <f t="shared" si="68"/>
        <v>650.09999999999991</v>
      </c>
      <c r="R398" s="19">
        <f t="shared" si="69"/>
        <v>675.09999999999991</v>
      </c>
      <c r="S398" s="19">
        <f t="shared" si="70"/>
        <v>1703.9</v>
      </c>
      <c r="T398" s="19">
        <f t="shared" si="71"/>
        <v>10324.9</v>
      </c>
      <c r="U398" s="22" t="s">
        <v>36</v>
      </c>
    </row>
    <row r="399" spans="1:21" ht="15.75" customHeight="1">
      <c r="A399" s="21">
        <v>384</v>
      </c>
      <c r="B399" s="21" t="s">
        <v>481</v>
      </c>
      <c r="C399" s="23" t="s">
        <v>299</v>
      </c>
      <c r="D399" s="21" t="s">
        <v>69</v>
      </c>
      <c r="E399" s="22" t="s">
        <v>29</v>
      </c>
      <c r="F399" s="19">
        <v>17000</v>
      </c>
      <c r="G399" s="20">
        <v>0</v>
      </c>
      <c r="H399" s="20">
        <v>25</v>
      </c>
      <c r="I399" s="20">
        <v>0</v>
      </c>
      <c r="J399" s="20">
        <v>0</v>
      </c>
      <c r="K399" s="20">
        <f t="shared" si="66"/>
        <v>487.9</v>
      </c>
      <c r="L399" s="20">
        <f t="shared" si="67"/>
        <v>1207</v>
      </c>
      <c r="M399" s="20">
        <v>221</v>
      </c>
      <c r="N399" s="20">
        <v>516.79999999999995</v>
      </c>
      <c r="O399" s="20">
        <v>1205.3000000000002</v>
      </c>
      <c r="P399" s="20">
        <v>0</v>
      </c>
      <c r="Q399" s="19">
        <f t="shared" si="68"/>
        <v>1004.6999999999999</v>
      </c>
      <c r="R399" s="19">
        <f t="shared" si="69"/>
        <v>1029.6999999999998</v>
      </c>
      <c r="S399" s="19">
        <f t="shared" si="70"/>
        <v>2633.3</v>
      </c>
      <c r="T399" s="19">
        <f t="shared" si="71"/>
        <v>15970.3</v>
      </c>
      <c r="U399" s="22" t="s">
        <v>36</v>
      </c>
    </row>
    <row r="400" spans="1:21" ht="15.75" customHeight="1">
      <c r="A400" s="17">
        <v>385</v>
      </c>
      <c r="B400" s="21" t="s">
        <v>482</v>
      </c>
      <c r="C400" s="23" t="s">
        <v>71</v>
      </c>
      <c r="D400" s="21" t="s">
        <v>72</v>
      </c>
      <c r="E400" s="22" t="s">
        <v>29</v>
      </c>
      <c r="F400" s="19">
        <v>10000</v>
      </c>
      <c r="G400" s="20">
        <v>0</v>
      </c>
      <c r="H400" s="20">
        <v>25</v>
      </c>
      <c r="I400" s="20">
        <v>0</v>
      </c>
      <c r="J400" s="20">
        <v>0</v>
      </c>
      <c r="K400" s="20">
        <f t="shared" ref="K400:K462" si="72">F400*2.87%</f>
        <v>287</v>
      </c>
      <c r="L400" s="20">
        <f t="shared" ref="L400:L462" si="73">F400*7.1%</f>
        <v>709.99999999999989</v>
      </c>
      <c r="M400" s="20">
        <v>130</v>
      </c>
      <c r="N400" s="20">
        <v>304</v>
      </c>
      <c r="O400" s="20">
        <v>709</v>
      </c>
      <c r="P400" s="20">
        <v>0</v>
      </c>
      <c r="Q400" s="19">
        <f t="shared" ref="Q400:Q462" si="74">K400+N400</f>
        <v>591</v>
      </c>
      <c r="R400" s="19">
        <f t="shared" ref="R400:R462" si="75">G400+H400+I400+J400+K400+N400+P400</f>
        <v>616</v>
      </c>
      <c r="S400" s="19">
        <f t="shared" ref="S400:S462" si="76">L400+M400+O400</f>
        <v>1549</v>
      </c>
      <c r="T400" s="19">
        <f t="shared" ref="T400:T462" si="77">F400-R400</f>
        <v>9384</v>
      </c>
      <c r="U400" s="22" t="s">
        <v>36</v>
      </c>
    </row>
    <row r="401" spans="1:21" ht="15.75" customHeight="1">
      <c r="A401" s="21">
        <v>386</v>
      </c>
      <c r="B401" s="21" t="s">
        <v>483</v>
      </c>
      <c r="C401" s="23" t="s">
        <v>71</v>
      </c>
      <c r="D401" s="21" t="s">
        <v>72</v>
      </c>
      <c r="E401" s="22" t="s">
        <v>29</v>
      </c>
      <c r="F401" s="19">
        <v>15000</v>
      </c>
      <c r="G401" s="20">
        <v>0</v>
      </c>
      <c r="H401" s="20">
        <v>25</v>
      </c>
      <c r="I401" s="20">
        <v>0</v>
      </c>
      <c r="J401" s="20">
        <f>1000+300+3956.66</f>
        <v>5256.66</v>
      </c>
      <c r="K401" s="20">
        <f t="shared" si="72"/>
        <v>430.5</v>
      </c>
      <c r="L401" s="20">
        <f t="shared" si="73"/>
        <v>1065</v>
      </c>
      <c r="M401" s="20">
        <v>195</v>
      </c>
      <c r="N401" s="20">
        <v>456</v>
      </c>
      <c r="O401" s="20">
        <v>1063.5</v>
      </c>
      <c r="P401" s="20">
        <v>0</v>
      </c>
      <c r="Q401" s="19">
        <f t="shared" si="74"/>
        <v>886.5</v>
      </c>
      <c r="R401" s="19">
        <f t="shared" si="75"/>
        <v>6168.16</v>
      </c>
      <c r="S401" s="19">
        <f t="shared" si="76"/>
        <v>2323.5</v>
      </c>
      <c r="T401" s="19">
        <f t="shared" si="77"/>
        <v>8831.84</v>
      </c>
      <c r="U401" s="22" t="s">
        <v>36</v>
      </c>
    </row>
    <row r="402" spans="1:21" ht="15.75" customHeight="1">
      <c r="A402" s="21">
        <v>387</v>
      </c>
      <c r="B402" s="21" t="s">
        <v>484</v>
      </c>
      <c r="C402" s="23" t="s">
        <v>71</v>
      </c>
      <c r="D402" s="21" t="s">
        <v>72</v>
      </c>
      <c r="E402" s="22" t="s">
        <v>29</v>
      </c>
      <c r="F402" s="19">
        <v>15000</v>
      </c>
      <c r="G402" s="20">
        <v>0</v>
      </c>
      <c r="H402" s="20">
        <v>25</v>
      </c>
      <c r="I402" s="20">
        <v>0</v>
      </c>
      <c r="J402" s="20">
        <v>0</v>
      </c>
      <c r="K402" s="20">
        <f t="shared" si="72"/>
        <v>430.5</v>
      </c>
      <c r="L402" s="20">
        <f t="shared" si="73"/>
        <v>1065</v>
      </c>
      <c r="M402" s="20">
        <v>195</v>
      </c>
      <c r="N402" s="20">
        <v>456</v>
      </c>
      <c r="O402" s="20">
        <v>1063.5</v>
      </c>
      <c r="P402" s="20">
        <v>0</v>
      </c>
      <c r="Q402" s="19">
        <f t="shared" si="74"/>
        <v>886.5</v>
      </c>
      <c r="R402" s="19">
        <f t="shared" si="75"/>
        <v>911.5</v>
      </c>
      <c r="S402" s="19">
        <f t="shared" si="76"/>
        <v>2323.5</v>
      </c>
      <c r="T402" s="19">
        <f t="shared" si="77"/>
        <v>14088.5</v>
      </c>
      <c r="U402" s="22" t="s">
        <v>36</v>
      </c>
    </row>
    <row r="403" spans="1:21" ht="15.75" customHeight="1">
      <c r="A403" s="17">
        <v>388</v>
      </c>
      <c r="B403" s="21" t="s">
        <v>485</v>
      </c>
      <c r="C403" s="23" t="s">
        <v>60</v>
      </c>
      <c r="D403" s="21" t="s">
        <v>72</v>
      </c>
      <c r="E403" s="22" t="s">
        <v>29</v>
      </c>
      <c r="F403" s="19">
        <v>22000</v>
      </c>
      <c r="G403" s="20">
        <v>0</v>
      </c>
      <c r="H403" s="20">
        <v>25</v>
      </c>
      <c r="I403" s="20">
        <v>0</v>
      </c>
      <c r="J403" s="20">
        <v>0</v>
      </c>
      <c r="K403" s="20">
        <f t="shared" si="72"/>
        <v>631.4</v>
      </c>
      <c r="L403" s="20">
        <f t="shared" si="73"/>
        <v>1561.9999999999998</v>
      </c>
      <c r="M403" s="20">
        <v>286</v>
      </c>
      <c r="N403" s="20">
        <v>668.8</v>
      </c>
      <c r="O403" s="20">
        <v>1559.8000000000002</v>
      </c>
      <c r="P403" s="20">
        <v>0</v>
      </c>
      <c r="Q403" s="19">
        <f t="shared" si="74"/>
        <v>1300.1999999999998</v>
      </c>
      <c r="R403" s="19">
        <f t="shared" si="75"/>
        <v>1325.1999999999998</v>
      </c>
      <c r="S403" s="19">
        <f t="shared" si="76"/>
        <v>3407.8</v>
      </c>
      <c r="T403" s="19">
        <f t="shared" si="77"/>
        <v>20674.8</v>
      </c>
      <c r="U403" s="22" t="s">
        <v>36</v>
      </c>
    </row>
    <row r="404" spans="1:21" ht="15.75" customHeight="1">
      <c r="A404" s="21">
        <v>389</v>
      </c>
      <c r="B404" s="21" t="s">
        <v>486</v>
      </c>
      <c r="C404" s="23" t="s">
        <v>48</v>
      </c>
      <c r="D404" s="21" t="s">
        <v>78</v>
      </c>
      <c r="E404" s="22" t="s">
        <v>29</v>
      </c>
      <c r="F404" s="19">
        <v>18000</v>
      </c>
      <c r="G404" s="20">
        <v>0</v>
      </c>
      <c r="H404" s="20">
        <v>25</v>
      </c>
      <c r="I404" s="20">
        <v>0</v>
      </c>
      <c r="J404" s="20">
        <v>0</v>
      </c>
      <c r="K404" s="20">
        <f t="shared" si="72"/>
        <v>516.6</v>
      </c>
      <c r="L404" s="20">
        <f t="shared" si="73"/>
        <v>1277.9999999999998</v>
      </c>
      <c r="M404" s="20">
        <v>234</v>
      </c>
      <c r="N404" s="20">
        <v>547.20000000000005</v>
      </c>
      <c r="O404" s="20">
        <v>1276.2</v>
      </c>
      <c r="P404" s="20">
        <v>0</v>
      </c>
      <c r="Q404" s="19">
        <f t="shared" si="74"/>
        <v>1063.8000000000002</v>
      </c>
      <c r="R404" s="19">
        <f t="shared" si="75"/>
        <v>1088.8000000000002</v>
      </c>
      <c r="S404" s="19">
        <f t="shared" si="76"/>
        <v>2788.2</v>
      </c>
      <c r="T404" s="19">
        <f t="shared" si="77"/>
        <v>16911.2</v>
      </c>
      <c r="U404" s="22" t="s">
        <v>36</v>
      </c>
    </row>
    <row r="405" spans="1:21" ht="15.75" customHeight="1">
      <c r="A405" s="21">
        <v>390</v>
      </c>
      <c r="B405" s="21" t="s">
        <v>487</v>
      </c>
      <c r="C405" s="23" t="s">
        <v>68</v>
      </c>
      <c r="D405" s="21" t="s">
        <v>86</v>
      </c>
      <c r="E405" s="28" t="s">
        <v>29</v>
      </c>
      <c r="F405" s="19">
        <v>20000</v>
      </c>
      <c r="G405" s="20">
        <v>0</v>
      </c>
      <c r="H405" s="20">
        <v>25</v>
      </c>
      <c r="I405" s="20">
        <v>0</v>
      </c>
      <c r="J405" s="20">
        <v>0</v>
      </c>
      <c r="K405" s="20">
        <f t="shared" si="72"/>
        <v>574</v>
      </c>
      <c r="L405" s="20">
        <f t="shared" si="73"/>
        <v>1419.9999999999998</v>
      </c>
      <c r="M405" s="20">
        <v>260</v>
      </c>
      <c r="N405" s="20">
        <v>608</v>
      </c>
      <c r="O405" s="20">
        <v>1418</v>
      </c>
      <c r="P405" s="20">
        <v>3174.76</v>
      </c>
      <c r="Q405" s="19">
        <f t="shared" si="74"/>
        <v>1182</v>
      </c>
      <c r="R405" s="19">
        <f t="shared" si="75"/>
        <v>4381.76</v>
      </c>
      <c r="S405" s="19">
        <f t="shared" si="76"/>
        <v>3098</v>
      </c>
      <c r="T405" s="19">
        <f t="shared" si="77"/>
        <v>15618.24</v>
      </c>
      <c r="U405" s="22" t="s">
        <v>36</v>
      </c>
    </row>
    <row r="406" spans="1:21" ht="15.75" customHeight="1">
      <c r="A406" s="17">
        <v>391</v>
      </c>
      <c r="B406" s="21" t="s">
        <v>488</v>
      </c>
      <c r="C406" s="24" t="s">
        <v>48</v>
      </c>
      <c r="D406" s="29" t="s">
        <v>135</v>
      </c>
      <c r="E406" s="25" t="s">
        <v>29</v>
      </c>
      <c r="F406" s="19">
        <v>25000</v>
      </c>
      <c r="G406" s="20">
        <v>0</v>
      </c>
      <c r="H406" s="20">
        <v>25</v>
      </c>
      <c r="I406" s="20">
        <v>0</v>
      </c>
      <c r="J406" s="20">
        <v>0</v>
      </c>
      <c r="K406" s="20">
        <f t="shared" si="72"/>
        <v>717.5</v>
      </c>
      <c r="L406" s="20">
        <f t="shared" si="73"/>
        <v>1774.9999999999998</v>
      </c>
      <c r="M406" s="20">
        <v>325</v>
      </c>
      <c r="N406" s="20">
        <v>760</v>
      </c>
      <c r="O406" s="20">
        <v>1772.5000000000002</v>
      </c>
      <c r="P406" s="20">
        <v>0</v>
      </c>
      <c r="Q406" s="19">
        <f t="shared" si="74"/>
        <v>1477.5</v>
      </c>
      <c r="R406" s="19">
        <f t="shared" si="75"/>
        <v>1502.5</v>
      </c>
      <c r="S406" s="19">
        <f t="shared" si="76"/>
        <v>3872.5</v>
      </c>
      <c r="T406" s="19">
        <f t="shared" si="77"/>
        <v>23497.5</v>
      </c>
      <c r="U406" s="22" t="s">
        <v>36</v>
      </c>
    </row>
    <row r="407" spans="1:21" ht="15.75" customHeight="1">
      <c r="A407" s="21">
        <v>392</v>
      </c>
      <c r="B407" s="21" t="s">
        <v>489</v>
      </c>
      <c r="C407" s="24" t="s">
        <v>48</v>
      </c>
      <c r="D407" s="29" t="s">
        <v>64</v>
      </c>
      <c r="E407" s="25" t="s">
        <v>29</v>
      </c>
      <c r="F407" s="19">
        <v>25000</v>
      </c>
      <c r="G407" s="20">
        <v>0</v>
      </c>
      <c r="H407" s="20">
        <v>25</v>
      </c>
      <c r="I407" s="20">
        <v>0</v>
      </c>
      <c r="J407" s="20">
        <v>0</v>
      </c>
      <c r="K407" s="20">
        <f t="shared" si="72"/>
        <v>717.5</v>
      </c>
      <c r="L407" s="20">
        <f t="shared" si="73"/>
        <v>1774.9999999999998</v>
      </c>
      <c r="M407" s="20">
        <v>325</v>
      </c>
      <c r="N407" s="20">
        <v>760</v>
      </c>
      <c r="O407" s="20">
        <v>1772.5000000000002</v>
      </c>
      <c r="P407" s="20">
        <v>0</v>
      </c>
      <c r="Q407" s="19">
        <f t="shared" si="74"/>
        <v>1477.5</v>
      </c>
      <c r="R407" s="19">
        <f t="shared" si="75"/>
        <v>1502.5</v>
      </c>
      <c r="S407" s="19">
        <f t="shared" si="76"/>
        <v>3872.5</v>
      </c>
      <c r="T407" s="19">
        <f t="shared" si="77"/>
        <v>23497.5</v>
      </c>
      <c r="U407" s="22" t="s">
        <v>36</v>
      </c>
    </row>
    <row r="408" spans="1:21" ht="15.75" customHeight="1">
      <c r="A408" s="21">
        <v>393</v>
      </c>
      <c r="B408" s="21" t="s">
        <v>490</v>
      </c>
      <c r="C408" s="24" t="s">
        <v>491</v>
      </c>
      <c r="D408" s="29" t="s">
        <v>72</v>
      </c>
      <c r="E408" s="22" t="s">
        <v>29</v>
      </c>
      <c r="F408" s="19">
        <v>12000</v>
      </c>
      <c r="G408" s="20">
        <v>0</v>
      </c>
      <c r="H408" s="20">
        <v>25</v>
      </c>
      <c r="I408" s="20">
        <v>0</v>
      </c>
      <c r="J408" s="20">
        <v>0</v>
      </c>
      <c r="K408" s="20">
        <f t="shared" si="72"/>
        <v>344.4</v>
      </c>
      <c r="L408" s="20">
        <f t="shared" si="73"/>
        <v>851.99999999999989</v>
      </c>
      <c r="M408" s="20">
        <v>156</v>
      </c>
      <c r="N408" s="20">
        <v>364.8</v>
      </c>
      <c r="O408" s="20">
        <v>850.80000000000007</v>
      </c>
      <c r="P408" s="20">
        <v>0</v>
      </c>
      <c r="Q408" s="19">
        <f t="shared" si="74"/>
        <v>709.2</v>
      </c>
      <c r="R408" s="19">
        <f t="shared" si="75"/>
        <v>734.2</v>
      </c>
      <c r="S408" s="19">
        <f t="shared" si="76"/>
        <v>1858.8</v>
      </c>
      <c r="T408" s="19">
        <f t="shared" si="77"/>
        <v>11265.8</v>
      </c>
      <c r="U408" s="22" t="s">
        <v>36</v>
      </c>
    </row>
    <row r="409" spans="1:21" ht="15.75" customHeight="1">
      <c r="A409" s="17">
        <v>394</v>
      </c>
      <c r="B409" s="21" t="s">
        <v>492</v>
      </c>
      <c r="C409" s="24" t="s">
        <v>88</v>
      </c>
      <c r="D409" s="29" t="s">
        <v>58</v>
      </c>
      <c r="E409" s="25" t="s">
        <v>29</v>
      </c>
      <c r="F409" s="19">
        <v>15000</v>
      </c>
      <c r="G409" s="20">
        <v>0</v>
      </c>
      <c r="H409" s="20">
        <v>25</v>
      </c>
      <c r="I409" s="20">
        <v>0</v>
      </c>
      <c r="J409" s="20">
        <v>0</v>
      </c>
      <c r="K409" s="20">
        <f t="shared" si="72"/>
        <v>430.5</v>
      </c>
      <c r="L409" s="20">
        <f t="shared" si="73"/>
        <v>1065</v>
      </c>
      <c r="M409" s="20">
        <v>195</v>
      </c>
      <c r="N409" s="20">
        <v>456</v>
      </c>
      <c r="O409" s="20">
        <v>1063.5</v>
      </c>
      <c r="P409" s="20">
        <v>0</v>
      </c>
      <c r="Q409" s="19">
        <f t="shared" si="74"/>
        <v>886.5</v>
      </c>
      <c r="R409" s="19">
        <f t="shared" si="75"/>
        <v>911.5</v>
      </c>
      <c r="S409" s="19">
        <f t="shared" si="76"/>
        <v>2323.5</v>
      </c>
      <c r="T409" s="19">
        <f t="shared" si="77"/>
        <v>14088.5</v>
      </c>
      <c r="U409" s="22" t="s">
        <v>36</v>
      </c>
    </row>
    <row r="410" spans="1:21" ht="15.75" customHeight="1">
      <c r="A410" s="21">
        <v>395</v>
      </c>
      <c r="B410" s="21" t="s">
        <v>493</v>
      </c>
      <c r="C410" s="24" t="s">
        <v>235</v>
      </c>
      <c r="D410" s="29" t="s">
        <v>72</v>
      </c>
      <c r="E410" s="22" t="s">
        <v>29</v>
      </c>
      <c r="F410" s="19">
        <v>11000</v>
      </c>
      <c r="G410" s="20">
        <v>0</v>
      </c>
      <c r="H410" s="20">
        <v>25</v>
      </c>
      <c r="I410" s="20">
        <v>0</v>
      </c>
      <c r="J410" s="20">
        <v>0</v>
      </c>
      <c r="K410" s="20">
        <f t="shared" si="72"/>
        <v>315.7</v>
      </c>
      <c r="L410" s="20">
        <f t="shared" si="73"/>
        <v>780.99999999999989</v>
      </c>
      <c r="M410" s="20">
        <v>143</v>
      </c>
      <c r="N410" s="20">
        <v>334.4</v>
      </c>
      <c r="O410" s="20">
        <v>779.90000000000009</v>
      </c>
      <c r="P410" s="20">
        <v>0</v>
      </c>
      <c r="Q410" s="19">
        <f t="shared" si="74"/>
        <v>650.09999999999991</v>
      </c>
      <c r="R410" s="19">
        <f t="shared" si="75"/>
        <v>675.09999999999991</v>
      </c>
      <c r="S410" s="19">
        <f t="shared" si="76"/>
        <v>1703.9</v>
      </c>
      <c r="T410" s="19">
        <f t="shared" si="77"/>
        <v>10324.9</v>
      </c>
      <c r="U410" s="22" t="s">
        <v>36</v>
      </c>
    </row>
    <row r="411" spans="1:21" ht="15.75" customHeight="1">
      <c r="A411" s="21">
        <v>396</v>
      </c>
      <c r="B411" s="30" t="s">
        <v>494</v>
      </c>
      <c r="C411" s="24" t="s">
        <v>68</v>
      </c>
      <c r="D411" s="29" t="s">
        <v>81</v>
      </c>
      <c r="E411" s="25" t="s">
        <v>29</v>
      </c>
      <c r="F411" s="19">
        <v>25000</v>
      </c>
      <c r="G411" s="20">
        <v>0</v>
      </c>
      <c r="H411" s="20">
        <v>25</v>
      </c>
      <c r="I411" s="20">
        <v>0</v>
      </c>
      <c r="J411" s="20">
        <v>0</v>
      </c>
      <c r="K411" s="20">
        <f t="shared" si="72"/>
        <v>717.5</v>
      </c>
      <c r="L411" s="20">
        <f t="shared" si="73"/>
        <v>1774.9999999999998</v>
      </c>
      <c r="M411" s="20">
        <v>325</v>
      </c>
      <c r="N411" s="20">
        <v>760</v>
      </c>
      <c r="O411" s="20">
        <v>1772.5000000000002</v>
      </c>
      <c r="P411" s="20">
        <v>0</v>
      </c>
      <c r="Q411" s="19">
        <f t="shared" si="74"/>
        <v>1477.5</v>
      </c>
      <c r="R411" s="19">
        <f t="shared" si="75"/>
        <v>1502.5</v>
      </c>
      <c r="S411" s="19">
        <f t="shared" si="76"/>
        <v>3872.5</v>
      </c>
      <c r="T411" s="19">
        <f t="shared" si="77"/>
        <v>23497.5</v>
      </c>
      <c r="U411" s="31" t="s">
        <v>36</v>
      </c>
    </row>
    <row r="412" spans="1:21" ht="15.75" customHeight="1">
      <c r="A412" s="17">
        <v>397</v>
      </c>
      <c r="B412" s="21" t="s">
        <v>495</v>
      </c>
      <c r="C412" s="21" t="s">
        <v>88</v>
      </c>
      <c r="D412" s="21" t="s">
        <v>58</v>
      </c>
      <c r="E412" s="22" t="s">
        <v>29</v>
      </c>
      <c r="F412" s="19">
        <v>15000</v>
      </c>
      <c r="G412" s="20">
        <v>0</v>
      </c>
      <c r="H412" s="20">
        <v>25</v>
      </c>
      <c r="I412" s="20">
        <v>0</v>
      </c>
      <c r="J412" s="20">
        <f>700+300+6490.32</f>
        <v>7490.32</v>
      </c>
      <c r="K412" s="20">
        <f t="shared" si="72"/>
        <v>430.5</v>
      </c>
      <c r="L412" s="20">
        <f t="shared" si="73"/>
        <v>1065</v>
      </c>
      <c r="M412" s="20">
        <v>195</v>
      </c>
      <c r="N412" s="20">
        <v>456</v>
      </c>
      <c r="O412" s="20">
        <v>1063.5</v>
      </c>
      <c r="P412" s="20">
        <v>0</v>
      </c>
      <c r="Q412" s="19">
        <f t="shared" si="74"/>
        <v>886.5</v>
      </c>
      <c r="R412" s="19">
        <f t="shared" si="75"/>
        <v>8401.82</v>
      </c>
      <c r="S412" s="19">
        <f t="shared" si="76"/>
        <v>2323.5</v>
      </c>
      <c r="T412" s="19">
        <f t="shared" si="77"/>
        <v>6598.18</v>
      </c>
      <c r="U412" s="22" t="s">
        <v>30</v>
      </c>
    </row>
    <row r="413" spans="1:21" ht="15.75" customHeight="1">
      <c r="A413" s="21">
        <v>398</v>
      </c>
      <c r="B413" s="21" t="s">
        <v>496</v>
      </c>
      <c r="C413" s="21" t="s">
        <v>51</v>
      </c>
      <c r="D413" s="21" t="s">
        <v>52</v>
      </c>
      <c r="E413" s="22" t="s">
        <v>29</v>
      </c>
      <c r="F413" s="19">
        <v>12000</v>
      </c>
      <c r="G413" s="20">
        <v>0</v>
      </c>
      <c r="H413" s="20">
        <v>25</v>
      </c>
      <c r="I413" s="20">
        <v>0</v>
      </c>
      <c r="J413" s="20">
        <v>0</v>
      </c>
      <c r="K413" s="20">
        <f t="shared" si="72"/>
        <v>344.4</v>
      </c>
      <c r="L413" s="20">
        <f t="shared" si="73"/>
        <v>851.99999999999989</v>
      </c>
      <c r="M413" s="20">
        <v>156</v>
      </c>
      <c r="N413" s="20">
        <v>364.8</v>
      </c>
      <c r="O413" s="20">
        <v>850.80000000000007</v>
      </c>
      <c r="P413" s="20">
        <v>0</v>
      </c>
      <c r="Q413" s="19">
        <f t="shared" si="74"/>
        <v>709.2</v>
      </c>
      <c r="R413" s="19">
        <f t="shared" si="75"/>
        <v>734.2</v>
      </c>
      <c r="S413" s="19">
        <f t="shared" si="76"/>
        <v>1858.8</v>
      </c>
      <c r="T413" s="19">
        <f t="shared" si="77"/>
        <v>11265.8</v>
      </c>
      <c r="U413" s="22" t="s">
        <v>30</v>
      </c>
    </row>
    <row r="414" spans="1:21" ht="15.75" customHeight="1">
      <c r="A414" s="21">
        <v>399</v>
      </c>
      <c r="B414" s="21" t="s">
        <v>497</v>
      </c>
      <c r="C414" s="21" t="s">
        <v>88</v>
      </c>
      <c r="D414" s="21" t="s">
        <v>58</v>
      </c>
      <c r="E414" s="22" t="s">
        <v>29</v>
      </c>
      <c r="F414" s="19">
        <v>10000</v>
      </c>
      <c r="G414" s="20">
        <v>0</v>
      </c>
      <c r="H414" s="20">
        <v>25</v>
      </c>
      <c r="I414" s="20">
        <v>0</v>
      </c>
      <c r="J414" s="20">
        <v>0</v>
      </c>
      <c r="K414" s="20">
        <f t="shared" si="72"/>
        <v>287</v>
      </c>
      <c r="L414" s="20">
        <f t="shared" si="73"/>
        <v>709.99999999999989</v>
      </c>
      <c r="M414" s="20">
        <v>130</v>
      </c>
      <c r="N414" s="20">
        <v>304</v>
      </c>
      <c r="O414" s="20">
        <v>709</v>
      </c>
      <c r="P414" s="20">
        <v>0</v>
      </c>
      <c r="Q414" s="19">
        <f t="shared" si="74"/>
        <v>591</v>
      </c>
      <c r="R414" s="19">
        <f t="shared" si="75"/>
        <v>616</v>
      </c>
      <c r="S414" s="19">
        <f t="shared" si="76"/>
        <v>1549</v>
      </c>
      <c r="T414" s="19">
        <f t="shared" si="77"/>
        <v>9384</v>
      </c>
      <c r="U414" s="22" t="s">
        <v>36</v>
      </c>
    </row>
    <row r="415" spans="1:21" ht="15.75" customHeight="1">
      <c r="A415" s="17">
        <v>400</v>
      </c>
      <c r="B415" s="21" t="s">
        <v>498</v>
      </c>
      <c r="C415" s="21" t="s">
        <v>66</v>
      </c>
      <c r="D415" s="21" t="s">
        <v>78</v>
      </c>
      <c r="E415" s="22" t="s">
        <v>29</v>
      </c>
      <c r="F415" s="19">
        <v>30000</v>
      </c>
      <c r="G415" s="20">
        <v>0</v>
      </c>
      <c r="H415" s="20">
        <v>25</v>
      </c>
      <c r="I415" s="20">
        <v>0</v>
      </c>
      <c r="J415" s="20">
        <v>0</v>
      </c>
      <c r="K415" s="20">
        <f t="shared" si="72"/>
        <v>861</v>
      </c>
      <c r="L415" s="20">
        <f t="shared" si="73"/>
        <v>2130</v>
      </c>
      <c r="M415" s="20">
        <v>390</v>
      </c>
      <c r="N415" s="20">
        <v>912</v>
      </c>
      <c r="O415" s="20">
        <v>2127</v>
      </c>
      <c r="P415" s="20">
        <v>0</v>
      </c>
      <c r="Q415" s="19">
        <f t="shared" si="74"/>
        <v>1773</v>
      </c>
      <c r="R415" s="19">
        <f t="shared" si="75"/>
        <v>1798</v>
      </c>
      <c r="S415" s="19">
        <f t="shared" si="76"/>
        <v>4647</v>
      </c>
      <c r="T415" s="19">
        <f t="shared" si="77"/>
        <v>28202</v>
      </c>
      <c r="U415" s="22" t="s">
        <v>36</v>
      </c>
    </row>
    <row r="416" spans="1:21" ht="15.75" customHeight="1">
      <c r="A416" s="21">
        <v>401</v>
      </c>
      <c r="B416" s="21" t="s">
        <v>499</v>
      </c>
      <c r="C416" s="21" t="s">
        <v>57</v>
      </c>
      <c r="D416" s="21" t="s">
        <v>58</v>
      </c>
      <c r="E416" s="22" t="s">
        <v>29</v>
      </c>
      <c r="F416" s="19">
        <v>15000</v>
      </c>
      <c r="G416" s="20">
        <v>0</v>
      </c>
      <c r="H416" s="20">
        <v>25</v>
      </c>
      <c r="I416" s="20">
        <v>0</v>
      </c>
      <c r="J416" s="20">
        <v>0</v>
      </c>
      <c r="K416" s="20">
        <f t="shared" si="72"/>
        <v>430.5</v>
      </c>
      <c r="L416" s="20">
        <f t="shared" si="73"/>
        <v>1065</v>
      </c>
      <c r="M416" s="20">
        <v>195</v>
      </c>
      <c r="N416" s="20">
        <v>456</v>
      </c>
      <c r="O416" s="20">
        <v>1063.5</v>
      </c>
      <c r="P416" s="20">
        <v>0</v>
      </c>
      <c r="Q416" s="19">
        <f t="shared" si="74"/>
        <v>886.5</v>
      </c>
      <c r="R416" s="19">
        <f t="shared" si="75"/>
        <v>911.5</v>
      </c>
      <c r="S416" s="19">
        <f t="shared" si="76"/>
        <v>2323.5</v>
      </c>
      <c r="T416" s="19">
        <f t="shared" si="77"/>
        <v>14088.5</v>
      </c>
      <c r="U416" s="22" t="s">
        <v>30</v>
      </c>
    </row>
    <row r="417" spans="1:21" ht="15.75" customHeight="1">
      <c r="A417" s="21">
        <v>402</v>
      </c>
      <c r="B417" s="21" t="s">
        <v>500</v>
      </c>
      <c r="C417" s="21" t="s">
        <v>88</v>
      </c>
      <c r="D417" s="21" t="s">
        <v>61</v>
      </c>
      <c r="E417" s="22" t="s">
        <v>29</v>
      </c>
      <c r="F417" s="19">
        <v>15000</v>
      </c>
      <c r="G417" s="20">
        <v>0</v>
      </c>
      <c r="H417" s="20">
        <v>25</v>
      </c>
      <c r="I417" s="20">
        <v>0</v>
      </c>
      <c r="J417" s="20">
        <v>0</v>
      </c>
      <c r="K417" s="20">
        <f t="shared" si="72"/>
        <v>430.5</v>
      </c>
      <c r="L417" s="20">
        <f t="shared" si="73"/>
        <v>1065</v>
      </c>
      <c r="M417" s="20">
        <v>195</v>
      </c>
      <c r="N417" s="20">
        <v>456</v>
      </c>
      <c r="O417" s="20">
        <v>1063.5</v>
      </c>
      <c r="P417" s="20">
        <v>0</v>
      </c>
      <c r="Q417" s="19">
        <f t="shared" si="74"/>
        <v>886.5</v>
      </c>
      <c r="R417" s="19">
        <f t="shared" si="75"/>
        <v>911.5</v>
      </c>
      <c r="S417" s="19">
        <f t="shared" si="76"/>
        <v>2323.5</v>
      </c>
      <c r="T417" s="19">
        <f t="shared" si="77"/>
        <v>14088.5</v>
      </c>
      <c r="U417" s="22" t="s">
        <v>30</v>
      </c>
    </row>
    <row r="418" spans="1:21" ht="15.75" customHeight="1">
      <c r="A418" s="17">
        <v>403</v>
      </c>
      <c r="B418" s="21" t="s">
        <v>501</v>
      </c>
      <c r="C418" s="21" t="s">
        <v>63</v>
      </c>
      <c r="D418" s="21" t="s">
        <v>98</v>
      </c>
      <c r="E418" s="22" t="s">
        <v>29</v>
      </c>
      <c r="F418" s="19">
        <v>23000</v>
      </c>
      <c r="G418" s="20">
        <v>0</v>
      </c>
      <c r="H418" s="20">
        <v>25</v>
      </c>
      <c r="I418" s="20">
        <v>0</v>
      </c>
      <c r="J418" s="20">
        <v>0</v>
      </c>
      <c r="K418" s="20">
        <f t="shared" si="72"/>
        <v>660.1</v>
      </c>
      <c r="L418" s="20">
        <f t="shared" si="73"/>
        <v>1632.9999999999998</v>
      </c>
      <c r="M418" s="20">
        <v>299</v>
      </c>
      <c r="N418" s="20">
        <v>699.2</v>
      </c>
      <c r="O418" s="20">
        <v>1630.7</v>
      </c>
      <c r="P418" s="20">
        <v>0</v>
      </c>
      <c r="Q418" s="19">
        <f t="shared" si="74"/>
        <v>1359.3000000000002</v>
      </c>
      <c r="R418" s="19">
        <f t="shared" si="75"/>
        <v>1384.3000000000002</v>
      </c>
      <c r="S418" s="19">
        <f t="shared" si="76"/>
        <v>3562.7</v>
      </c>
      <c r="T418" s="19">
        <f t="shared" si="77"/>
        <v>21615.7</v>
      </c>
      <c r="U418" s="22" t="s">
        <v>30</v>
      </c>
    </row>
    <row r="419" spans="1:21" ht="15.6">
      <c r="A419" s="21">
        <v>404</v>
      </c>
      <c r="B419" s="21" t="s">
        <v>502</v>
      </c>
      <c r="C419" s="21" t="s">
        <v>88</v>
      </c>
      <c r="D419" s="21" t="s">
        <v>61</v>
      </c>
      <c r="E419" s="22" t="s">
        <v>29</v>
      </c>
      <c r="F419" s="19">
        <v>10000</v>
      </c>
      <c r="G419" s="20">
        <v>0</v>
      </c>
      <c r="H419" s="20">
        <v>25</v>
      </c>
      <c r="I419" s="20">
        <v>0</v>
      </c>
      <c r="J419" s="20">
        <v>0</v>
      </c>
      <c r="K419" s="20">
        <f t="shared" si="72"/>
        <v>287</v>
      </c>
      <c r="L419" s="20">
        <f t="shared" si="73"/>
        <v>709.99999999999989</v>
      </c>
      <c r="M419" s="20">
        <v>130</v>
      </c>
      <c r="N419" s="20">
        <v>304</v>
      </c>
      <c r="O419" s="20">
        <v>709</v>
      </c>
      <c r="P419" s="20">
        <v>0</v>
      </c>
      <c r="Q419" s="19">
        <f t="shared" si="74"/>
        <v>591</v>
      </c>
      <c r="R419" s="19">
        <f t="shared" si="75"/>
        <v>616</v>
      </c>
      <c r="S419" s="19">
        <f t="shared" si="76"/>
        <v>1549</v>
      </c>
      <c r="T419" s="19">
        <f t="shared" si="77"/>
        <v>9384</v>
      </c>
      <c r="U419" s="22" t="s">
        <v>30</v>
      </c>
    </row>
    <row r="420" spans="1:21" ht="15.75" customHeight="1">
      <c r="A420" s="21">
        <v>405</v>
      </c>
      <c r="B420" s="21" t="s">
        <v>503</v>
      </c>
      <c r="C420" s="21" t="s">
        <v>504</v>
      </c>
      <c r="D420" s="21" t="s">
        <v>35</v>
      </c>
      <c r="E420" s="22" t="s">
        <v>29</v>
      </c>
      <c r="F420" s="19">
        <v>65000</v>
      </c>
      <c r="G420" s="20">
        <v>4427.58</v>
      </c>
      <c r="H420" s="20">
        <v>25</v>
      </c>
      <c r="I420" s="20">
        <v>0</v>
      </c>
      <c r="J420" s="20">
        <f>2000+300+4181.03</f>
        <v>6481.03</v>
      </c>
      <c r="K420" s="20">
        <f t="shared" si="72"/>
        <v>1865.5</v>
      </c>
      <c r="L420" s="20">
        <f t="shared" si="73"/>
        <v>4615</v>
      </c>
      <c r="M420" s="20">
        <v>845</v>
      </c>
      <c r="N420" s="20">
        <v>1976</v>
      </c>
      <c r="O420" s="20">
        <v>4608.5</v>
      </c>
      <c r="P420" s="20">
        <v>0</v>
      </c>
      <c r="Q420" s="19">
        <f t="shared" si="74"/>
        <v>3841.5</v>
      </c>
      <c r="R420" s="19">
        <f t="shared" si="75"/>
        <v>14775.11</v>
      </c>
      <c r="S420" s="19">
        <f t="shared" si="76"/>
        <v>10068.5</v>
      </c>
      <c r="T420" s="19">
        <f t="shared" si="77"/>
        <v>50224.89</v>
      </c>
      <c r="U420" s="22" t="s">
        <v>36</v>
      </c>
    </row>
    <row r="421" spans="1:21" ht="15.75" customHeight="1">
      <c r="A421" s="17">
        <v>406</v>
      </c>
      <c r="B421" s="21" t="s">
        <v>505</v>
      </c>
      <c r="C421" s="21" t="s">
        <v>355</v>
      </c>
      <c r="D421" s="21" t="s">
        <v>78</v>
      </c>
      <c r="E421" s="22" t="s">
        <v>29</v>
      </c>
      <c r="F421" s="19">
        <v>10000</v>
      </c>
      <c r="G421" s="20">
        <v>0</v>
      </c>
      <c r="H421" s="20">
        <v>25</v>
      </c>
      <c r="I421" s="20">
        <v>0</v>
      </c>
      <c r="J421" s="20">
        <v>0</v>
      </c>
      <c r="K421" s="20">
        <f t="shared" si="72"/>
        <v>287</v>
      </c>
      <c r="L421" s="20">
        <f t="shared" si="73"/>
        <v>709.99999999999989</v>
      </c>
      <c r="M421" s="20">
        <v>130</v>
      </c>
      <c r="N421" s="20">
        <v>304</v>
      </c>
      <c r="O421" s="20">
        <v>709</v>
      </c>
      <c r="P421" s="20">
        <v>0</v>
      </c>
      <c r="Q421" s="19">
        <f t="shared" si="74"/>
        <v>591</v>
      </c>
      <c r="R421" s="19">
        <f t="shared" si="75"/>
        <v>616</v>
      </c>
      <c r="S421" s="19">
        <f t="shared" si="76"/>
        <v>1549</v>
      </c>
      <c r="T421" s="19">
        <f t="shared" si="77"/>
        <v>9384</v>
      </c>
      <c r="U421" s="22" t="s">
        <v>30</v>
      </c>
    </row>
    <row r="422" spans="1:21" ht="15.75" customHeight="1">
      <c r="A422" s="21">
        <v>407</v>
      </c>
      <c r="B422" s="21" t="s">
        <v>506</v>
      </c>
      <c r="C422" s="21" t="s">
        <v>66</v>
      </c>
      <c r="D422" s="21" t="s">
        <v>61</v>
      </c>
      <c r="E422" s="22" t="s">
        <v>29</v>
      </c>
      <c r="F422" s="19">
        <v>35000</v>
      </c>
      <c r="G422" s="20">
        <v>0</v>
      </c>
      <c r="H422" s="20">
        <v>25</v>
      </c>
      <c r="I422" s="20">
        <v>0</v>
      </c>
      <c r="J422" s="20">
        <f>1200+300+1062.14</f>
        <v>2562.1400000000003</v>
      </c>
      <c r="K422" s="20">
        <f t="shared" si="72"/>
        <v>1004.5</v>
      </c>
      <c r="L422" s="20">
        <f t="shared" si="73"/>
        <v>2485</v>
      </c>
      <c r="M422" s="20">
        <v>455</v>
      </c>
      <c r="N422" s="20">
        <v>1064</v>
      </c>
      <c r="O422" s="20">
        <v>2481.5</v>
      </c>
      <c r="P422" s="20">
        <v>0</v>
      </c>
      <c r="Q422" s="19">
        <f t="shared" si="74"/>
        <v>2068.5</v>
      </c>
      <c r="R422" s="19">
        <f t="shared" si="75"/>
        <v>4655.6400000000003</v>
      </c>
      <c r="S422" s="19">
        <f t="shared" si="76"/>
        <v>5421.5</v>
      </c>
      <c r="T422" s="19">
        <f t="shared" si="77"/>
        <v>30344.36</v>
      </c>
      <c r="U422" s="22" t="s">
        <v>36</v>
      </c>
    </row>
    <row r="423" spans="1:21" ht="15.75" customHeight="1">
      <c r="A423" s="21">
        <v>408</v>
      </c>
      <c r="B423" s="21" t="s">
        <v>507</v>
      </c>
      <c r="C423" s="21" t="s">
        <v>68</v>
      </c>
      <c r="D423" s="21" t="s">
        <v>72</v>
      </c>
      <c r="E423" s="22" t="s">
        <v>29</v>
      </c>
      <c r="F423" s="19">
        <v>15000</v>
      </c>
      <c r="G423" s="20">
        <v>0</v>
      </c>
      <c r="H423" s="20">
        <v>25</v>
      </c>
      <c r="I423" s="20">
        <v>0</v>
      </c>
      <c r="J423" s="20">
        <v>0</v>
      </c>
      <c r="K423" s="20">
        <f t="shared" si="72"/>
        <v>430.5</v>
      </c>
      <c r="L423" s="20">
        <f t="shared" si="73"/>
        <v>1065</v>
      </c>
      <c r="M423" s="20">
        <v>195</v>
      </c>
      <c r="N423" s="20">
        <v>456</v>
      </c>
      <c r="O423" s="20">
        <v>1063.5</v>
      </c>
      <c r="P423" s="20">
        <v>0</v>
      </c>
      <c r="Q423" s="19">
        <f t="shared" si="74"/>
        <v>886.5</v>
      </c>
      <c r="R423" s="19">
        <f t="shared" si="75"/>
        <v>911.5</v>
      </c>
      <c r="S423" s="19">
        <f t="shared" si="76"/>
        <v>2323.5</v>
      </c>
      <c r="T423" s="19">
        <f t="shared" si="77"/>
        <v>14088.5</v>
      </c>
      <c r="U423" s="22" t="s">
        <v>36</v>
      </c>
    </row>
    <row r="424" spans="1:21" ht="15.75" customHeight="1">
      <c r="A424" s="17">
        <v>409</v>
      </c>
      <c r="B424" s="21" t="s">
        <v>508</v>
      </c>
      <c r="C424" s="21" t="s">
        <v>60</v>
      </c>
      <c r="D424" s="21" t="s">
        <v>61</v>
      </c>
      <c r="E424" s="22" t="s">
        <v>29</v>
      </c>
      <c r="F424" s="19">
        <v>25000</v>
      </c>
      <c r="G424" s="20">
        <v>0</v>
      </c>
      <c r="H424" s="20">
        <v>25</v>
      </c>
      <c r="I424" s="20">
        <v>0</v>
      </c>
      <c r="J424" s="20">
        <v>0</v>
      </c>
      <c r="K424" s="20">
        <f t="shared" si="72"/>
        <v>717.5</v>
      </c>
      <c r="L424" s="20">
        <f t="shared" si="73"/>
        <v>1774.9999999999998</v>
      </c>
      <c r="M424" s="20">
        <v>325</v>
      </c>
      <c r="N424" s="20">
        <v>760</v>
      </c>
      <c r="O424" s="20">
        <v>1772.5000000000002</v>
      </c>
      <c r="P424" s="20">
        <v>0</v>
      </c>
      <c r="Q424" s="19">
        <f t="shared" si="74"/>
        <v>1477.5</v>
      </c>
      <c r="R424" s="19">
        <f t="shared" si="75"/>
        <v>1502.5</v>
      </c>
      <c r="S424" s="19">
        <f t="shared" si="76"/>
        <v>3872.5</v>
      </c>
      <c r="T424" s="19">
        <f t="shared" si="77"/>
        <v>23497.5</v>
      </c>
      <c r="U424" s="22" t="s">
        <v>30</v>
      </c>
    </row>
    <row r="425" spans="1:21" ht="15.75" customHeight="1">
      <c r="A425" s="21">
        <v>410</v>
      </c>
      <c r="B425" s="21" t="s">
        <v>509</v>
      </c>
      <c r="C425" s="21" t="s">
        <v>171</v>
      </c>
      <c r="D425" s="21" t="s">
        <v>172</v>
      </c>
      <c r="E425" s="22" t="s">
        <v>29</v>
      </c>
      <c r="F425" s="19">
        <v>20000</v>
      </c>
      <c r="G425" s="20">
        <v>0</v>
      </c>
      <c r="H425" s="20">
        <v>25</v>
      </c>
      <c r="I425" s="20">
        <v>0</v>
      </c>
      <c r="J425" s="20">
        <v>0</v>
      </c>
      <c r="K425" s="20">
        <f t="shared" si="72"/>
        <v>574</v>
      </c>
      <c r="L425" s="20">
        <f t="shared" si="73"/>
        <v>1419.9999999999998</v>
      </c>
      <c r="M425" s="20">
        <v>260</v>
      </c>
      <c r="N425" s="20">
        <v>608</v>
      </c>
      <c r="O425" s="20">
        <v>1418</v>
      </c>
      <c r="P425" s="20">
        <v>0</v>
      </c>
      <c r="Q425" s="19">
        <f t="shared" si="74"/>
        <v>1182</v>
      </c>
      <c r="R425" s="19">
        <f t="shared" si="75"/>
        <v>1207</v>
      </c>
      <c r="S425" s="19">
        <f t="shared" si="76"/>
        <v>3098</v>
      </c>
      <c r="T425" s="19">
        <f t="shared" si="77"/>
        <v>18793</v>
      </c>
      <c r="U425" s="22" t="s">
        <v>30</v>
      </c>
    </row>
    <row r="426" spans="1:21" ht="15.75" customHeight="1">
      <c r="A426" s="21">
        <v>411</v>
      </c>
      <c r="B426" s="21" t="s">
        <v>510</v>
      </c>
      <c r="C426" s="21" t="s">
        <v>66</v>
      </c>
      <c r="D426" s="21" t="s">
        <v>72</v>
      </c>
      <c r="E426" s="22" t="s">
        <v>29</v>
      </c>
      <c r="F426" s="19">
        <v>40000</v>
      </c>
      <c r="G426" s="20">
        <v>442.65</v>
      </c>
      <c r="H426" s="20">
        <v>25</v>
      </c>
      <c r="I426" s="20">
        <v>0</v>
      </c>
      <c r="J426" s="20">
        <f>2000+300+1265</f>
        <v>3565</v>
      </c>
      <c r="K426" s="20">
        <f t="shared" si="72"/>
        <v>1148</v>
      </c>
      <c r="L426" s="20">
        <f t="shared" si="73"/>
        <v>2839.9999999999995</v>
      </c>
      <c r="M426" s="20">
        <v>520</v>
      </c>
      <c r="N426" s="20">
        <v>1216</v>
      </c>
      <c r="O426" s="20">
        <v>2836</v>
      </c>
      <c r="P426" s="20">
        <v>0</v>
      </c>
      <c r="Q426" s="19">
        <f t="shared" si="74"/>
        <v>2364</v>
      </c>
      <c r="R426" s="19">
        <f t="shared" si="75"/>
        <v>6396.65</v>
      </c>
      <c r="S426" s="19">
        <f t="shared" si="76"/>
        <v>6196</v>
      </c>
      <c r="T426" s="19">
        <f t="shared" si="77"/>
        <v>33603.35</v>
      </c>
      <c r="U426" s="22" t="s">
        <v>30</v>
      </c>
    </row>
    <row r="427" spans="1:21" ht="15.75" customHeight="1">
      <c r="A427" s="17">
        <v>412</v>
      </c>
      <c r="B427" s="21" t="s">
        <v>511</v>
      </c>
      <c r="C427" s="21" t="s">
        <v>66</v>
      </c>
      <c r="D427" s="21" t="s">
        <v>61</v>
      </c>
      <c r="E427" s="22" t="s">
        <v>29</v>
      </c>
      <c r="F427" s="19">
        <v>20000</v>
      </c>
      <c r="G427" s="20">
        <v>0</v>
      </c>
      <c r="H427" s="20">
        <v>25</v>
      </c>
      <c r="I427" s="20">
        <v>0</v>
      </c>
      <c r="J427" s="20">
        <v>0</v>
      </c>
      <c r="K427" s="20">
        <f t="shared" si="72"/>
        <v>574</v>
      </c>
      <c r="L427" s="20">
        <f t="shared" si="73"/>
        <v>1419.9999999999998</v>
      </c>
      <c r="M427" s="20">
        <v>260</v>
      </c>
      <c r="N427" s="20">
        <v>608</v>
      </c>
      <c r="O427" s="20">
        <v>1418</v>
      </c>
      <c r="P427" s="20">
        <v>0</v>
      </c>
      <c r="Q427" s="19">
        <f t="shared" si="74"/>
        <v>1182</v>
      </c>
      <c r="R427" s="19">
        <f t="shared" si="75"/>
        <v>1207</v>
      </c>
      <c r="S427" s="19">
        <f t="shared" si="76"/>
        <v>3098</v>
      </c>
      <c r="T427" s="19">
        <f t="shared" si="77"/>
        <v>18793</v>
      </c>
      <c r="U427" s="22" t="s">
        <v>30</v>
      </c>
    </row>
    <row r="428" spans="1:21" ht="15.75" customHeight="1">
      <c r="A428" s="21">
        <v>413</v>
      </c>
      <c r="B428" s="21" t="s">
        <v>512</v>
      </c>
      <c r="C428" s="21" t="s">
        <v>88</v>
      </c>
      <c r="D428" s="21" t="s">
        <v>61</v>
      </c>
      <c r="E428" s="22" t="s">
        <v>29</v>
      </c>
      <c r="F428" s="19">
        <v>10000</v>
      </c>
      <c r="G428" s="20">
        <v>0</v>
      </c>
      <c r="H428" s="20">
        <v>25</v>
      </c>
      <c r="I428" s="20">
        <v>0</v>
      </c>
      <c r="J428" s="20">
        <v>0</v>
      </c>
      <c r="K428" s="20">
        <f t="shared" si="72"/>
        <v>287</v>
      </c>
      <c r="L428" s="20">
        <f t="shared" si="73"/>
        <v>709.99999999999989</v>
      </c>
      <c r="M428" s="20">
        <v>130</v>
      </c>
      <c r="N428" s="20">
        <v>304</v>
      </c>
      <c r="O428" s="20">
        <v>709</v>
      </c>
      <c r="P428" s="20">
        <v>0</v>
      </c>
      <c r="Q428" s="19">
        <f t="shared" si="74"/>
        <v>591</v>
      </c>
      <c r="R428" s="19">
        <f t="shared" si="75"/>
        <v>616</v>
      </c>
      <c r="S428" s="19">
        <f t="shared" si="76"/>
        <v>1549</v>
      </c>
      <c r="T428" s="19">
        <f t="shared" si="77"/>
        <v>9384</v>
      </c>
      <c r="U428" s="22" t="s">
        <v>30</v>
      </c>
    </row>
    <row r="429" spans="1:21" ht="15.75" customHeight="1">
      <c r="A429" s="21">
        <v>414</v>
      </c>
      <c r="B429" s="21" t="s">
        <v>513</v>
      </c>
      <c r="C429" s="21" t="s">
        <v>283</v>
      </c>
      <c r="D429" s="21" t="s">
        <v>58</v>
      </c>
      <c r="E429" s="22" t="s">
        <v>29</v>
      </c>
      <c r="F429" s="19">
        <v>30000</v>
      </c>
      <c r="G429" s="20">
        <v>0</v>
      </c>
      <c r="H429" s="20">
        <v>25</v>
      </c>
      <c r="I429" s="20">
        <v>0</v>
      </c>
      <c r="J429" s="20">
        <v>0</v>
      </c>
      <c r="K429" s="20">
        <f t="shared" si="72"/>
        <v>861</v>
      </c>
      <c r="L429" s="20">
        <f t="shared" si="73"/>
        <v>2130</v>
      </c>
      <c r="M429" s="20">
        <v>390</v>
      </c>
      <c r="N429" s="20">
        <v>912</v>
      </c>
      <c r="O429" s="20">
        <v>2127</v>
      </c>
      <c r="P429" s="20">
        <v>0</v>
      </c>
      <c r="Q429" s="19">
        <f t="shared" si="74"/>
        <v>1773</v>
      </c>
      <c r="R429" s="19">
        <f t="shared" si="75"/>
        <v>1798</v>
      </c>
      <c r="S429" s="19">
        <f t="shared" si="76"/>
        <v>4647</v>
      </c>
      <c r="T429" s="19">
        <f t="shared" si="77"/>
        <v>28202</v>
      </c>
      <c r="U429" s="22" t="s">
        <v>30</v>
      </c>
    </row>
    <row r="430" spans="1:21" ht="15.75" customHeight="1">
      <c r="A430" s="17">
        <v>415</v>
      </c>
      <c r="B430" s="21" t="s">
        <v>514</v>
      </c>
      <c r="C430" s="21" t="s">
        <v>515</v>
      </c>
      <c r="D430" s="21" t="s">
        <v>72</v>
      </c>
      <c r="E430" s="22" t="s">
        <v>29</v>
      </c>
      <c r="F430" s="19">
        <v>11500</v>
      </c>
      <c r="G430" s="20">
        <v>0</v>
      </c>
      <c r="H430" s="20">
        <v>25</v>
      </c>
      <c r="I430" s="20">
        <v>0</v>
      </c>
      <c r="J430" s="20">
        <v>0</v>
      </c>
      <c r="K430" s="20">
        <f t="shared" si="72"/>
        <v>330.05</v>
      </c>
      <c r="L430" s="20">
        <f t="shared" si="73"/>
        <v>816.49999999999989</v>
      </c>
      <c r="M430" s="20">
        <v>149.5</v>
      </c>
      <c r="N430" s="20">
        <v>349.6</v>
      </c>
      <c r="O430" s="20">
        <v>815.35</v>
      </c>
      <c r="P430" s="20">
        <v>0</v>
      </c>
      <c r="Q430" s="19">
        <f t="shared" si="74"/>
        <v>679.65000000000009</v>
      </c>
      <c r="R430" s="19">
        <f t="shared" si="75"/>
        <v>704.65000000000009</v>
      </c>
      <c r="S430" s="19">
        <f t="shared" si="76"/>
        <v>1781.35</v>
      </c>
      <c r="T430" s="19">
        <f t="shared" si="77"/>
        <v>10795.35</v>
      </c>
      <c r="U430" s="22" t="s">
        <v>30</v>
      </c>
    </row>
    <row r="431" spans="1:21" ht="15.75" customHeight="1">
      <c r="A431" s="21">
        <v>416</v>
      </c>
      <c r="B431" s="21" t="s">
        <v>516</v>
      </c>
      <c r="C431" s="21" t="s">
        <v>51</v>
      </c>
      <c r="D431" s="21" t="s">
        <v>52</v>
      </c>
      <c r="E431" s="22" t="s">
        <v>29</v>
      </c>
      <c r="F431" s="19">
        <v>10000</v>
      </c>
      <c r="G431" s="20">
        <v>0</v>
      </c>
      <c r="H431" s="20">
        <v>25</v>
      </c>
      <c r="I431" s="20">
        <v>0</v>
      </c>
      <c r="J431" s="20">
        <v>0</v>
      </c>
      <c r="K431" s="20">
        <f t="shared" si="72"/>
        <v>287</v>
      </c>
      <c r="L431" s="20">
        <f t="shared" si="73"/>
        <v>709.99999999999989</v>
      </c>
      <c r="M431" s="20">
        <v>130</v>
      </c>
      <c r="N431" s="20">
        <v>304</v>
      </c>
      <c r="O431" s="20">
        <v>709</v>
      </c>
      <c r="P431" s="20">
        <v>0</v>
      </c>
      <c r="Q431" s="19">
        <f t="shared" si="74"/>
        <v>591</v>
      </c>
      <c r="R431" s="19">
        <f t="shared" si="75"/>
        <v>616</v>
      </c>
      <c r="S431" s="19">
        <f t="shared" si="76"/>
        <v>1549</v>
      </c>
      <c r="T431" s="19">
        <f t="shared" si="77"/>
        <v>9384</v>
      </c>
      <c r="U431" s="22" t="s">
        <v>30</v>
      </c>
    </row>
    <row r="432" spans="1:21" ht="15.75" customHeight="1">
      <c r="A432" s="21">
        <v>417</v>
      </c>
      <c r="B432" s="21" t="s">
        <v>517</v>
      </c>
      <c r="C432" s="21" t="s">
        <v>88</v>
      </c>
      <c r="D432" s="21" t="s">
        <v>61</v>
      </c>
      <c r="E432" s="22" t="s">
        <v>29</v>
      </c>
      <c r="F432" s="19">
        <v>10000</v>
      </c>
      <c r="G432" s="20">
        <v>0</v>
      </c>
      <c r="H432" s="20">
        <v>25</v>
      </c>
      <c r="I432" s="20">
        <v>0</v>
      </c>
      <c r="J432" s="20">
        <v>0</v>
      </c>
      <c r="K432" s="20">
        <f t="shared" si="72"/>
        <v>287</v>
      </c>
      <c r="L432" s="20">
        <f t="shared" si="73"/>
        <v>709.99999999999989</v>
      </c>
      <c r="M432" s="20">
        <v>130</v>
      </c>
      <c r="N432" s="20">
        <v>304</v>
      </c>
      <c r="O432" s="20">
        <v>709</v>
      </c>
      <c r="P432" s="20">
        <v>0</v>
      </c>
      <c r="Q432" s="19">
        <f t="shared" si="74"/>
        <v>591</v>
      </c>
      <c r="R432" s="19">
        <f t="shared" si="75"/>
        <v>616</v>
      </c>
      <c r="S432" s="19">
        <f t="shared" si="76"/>
        <v>1549</v>
      </c>
      <c r="T432" s="19">
        <f t="shared" si="77"/>
        <v>9384</v>
      </c>
      <c r="U432" s="22" t="s">
        <v>30</v>
      </c>
    </row>
    <row r="433" spans="1:21" ht="15.75" customHeight="1">
      <c r="A433" s="17">
        <v>418</v>
      </c>
      <c r="B433" s="21" t="s">
        <v>518</v>
      </c>
      <c r="C433" s="21" t="s">
        <v>66</v>
      </c>
      <c r="D433" s="21" t="s">
        <v>72</v>
      </c>
      <c r="E433" s="22" t="s">
        <v>29</v>
      </c>
      <c r="F433" s="19">
        <v>20000</v>
      </c>
      <c r="G433" s="20">
        <v>0</v>
      </c>
      <c r="H433" s="20">
        <v>25</v>
      </c>
      <c r="I433" s="20">
        <v>0</v>
      </c>
      <c r="J433" s="20">
        <v>0</v>
      </c>
      <c r="K433" s="20">
        <f t="shared" si="72"/>
        <v>574</v>
      </c>
      <c r="L433" s="20">
        <f t="shared" si="73"/>
        <v>1419.9999999999998</v>
      </c>
      <c r="M433" s="20">
        <v>260</v>
      </c>
      <c r="N433" s="20">
        <v>608</v>
      </c>
      <c r="O433" s="20">
        <v>1418</v>
      </c>
      <c r="P433" s="20">
        <v>0</v>
      </c>
      <c r="Q433" s="19">
        <f t="shared" si="74"/>
        <v>1182</v>
      </c>
      <c r="R433" s="19">
        <f t="shared" si="75"/>
        <v>1207</v>
      </c>
      <c r="S433" s="19">
        <f t="shared" si="76"/>
        <v>3098</v>
      </c>
      <c r="T433" s="19">
        <f t="shared" si="77"/>
        <v>18793</v>
      </c>
      <c r="U433" s="22" t="s">
        <v>36</v>
      </c>
    </row>
    <row r="434" spans="1:21" ht="15.75" customHeight="1">
      <c r="A434" s="21">
        <v>419</v>
      </c>
      <c r="B434" s="21" t="s">
        <v>519</v>
      </c>
      <c r="C434" s="21" t="s">
        <v>68</v>
      </c>
      <c r="D434" s="21" t="s">
        <v>58</v>
      </c>
      <c r="E434" s="22" t="s">
        <v>29</v>
      </c>
      <c r="F434" s="19">
        <v>13000</v>
      </c>
      <c r="G434" s="20">
        <v>0</v>
      </c>
      <c r="H434" s="20">
        <v>25</v>
      </c>
      <c r="I434" s="20">
        <v>0</v>
      </c>
      <c r="J434" s="20">
        <f>700+300+930.51</f>
        <v>1930.51</v>
      </c>
      <c r="K434" s="20">
        <f t="shared" si="72"/>
        <v>373.1</v>
      </c>
      <c r="L434" s="20">
        <f t="shared" si="73"/>
        <v>922.99999999999989</v>
      </c>
      <c r="M434" s="20">
        <v>169</v>
      </c>
      <c r="N434" s="20">
        <v>395.2</v>
      </c>
      <c r="O434" s="20">
        <v>921.7</v>
      </c>
      <c r="P434" s="20">
        <v>0</v>
      </c>
      <c r="Q434" s="19">
        <f t="shared" si="74"/>
        <v>768.3</v>
      </c>
      <c r="R434" s="19">
        <f t="shared" si="75"/>
        <v>2723.81</v>
      </c>
      <c r="S434" s="19">
        <f t="shared" si="76"/>
        <v>2013.7</v>
      </c>
      <c r="T434" s="19">
        <f t="shared" si="77"/>
        <v>10276.19</v>
      </c>
      <c r="U434" s="22" t="s">
        <v>36</v>
      </c>
    </row>
    <row r="435" spans="1:21" ht="15.75" customHeight="1">
      <c r="A435" s="21">
        <v>420</v>
      </c>
      <c r="B435" s="21" t="s">
        <v>520</v>
      </c>
      <c r="C435" s="21" t="s">
        <v>66</v>
      </c>
      <c r="D435" s="21" t="s">
        <v>72</v>
      </c>
      <c r="E435" s="22" t="s">
        <v>29</v>
      </c>
      <c r="F435" s="19">
        <v>15000</v>
      </c>
      <c r="G435" s="20">
        <v>0</v>
      </c>
      <c r="H435" s="20">
        <v>25</v>
      </c>
      <c r="I435" s="20">
        <v>0</v>
      </c>
      <c r="J435" s="20">
        <f>1000+1000+3413.03</f>
        <v>5413.0300000000007</v>
      </c>
      <c r="K435" s="20">
        <f t="shared" si="72"/>
        <v>430.5</v>
      </c>
      <c r="L435" s="20">
        <f t="shared" si="73"/>
        <v>1065</v>
      </c>
      <c r="M435" s="20">
        <v>195</v>
      </c>
      <c r="N435" s="20">
        <v>456</v>
      </c>
      <c r="O435" s="20">
        <v>1063.5</v>
      </c>
      <c r="P435" s="20">
        <v>0</v>
      </c>
      <c r="Q435" s="19">
        <f t="shared" si="74"/>
        <v>886.5</v>
      </c>
      <c r="R435" s="19">
        <f t="shared" si="75"/>
        <v>6324.5300000000007</v>
      </c>
      <c r="S435" s="19">
        <f t="shared" si="76"/>
        <v>2323.5</v>
      </c>
      <c r="T435" s="19">
        <f t="shared" si="77"/>
        <v>8675.4699999999993</v>
      </c>
      <c r="U435" s="22" t="s">
        <v>36</v>
      </c>
    </row>
    <row r="436" spans="1:21" ht="15.75" customHeight="1">
      <c r="A436" s="17">
        <v>421</v>
      </c>
      <c r="B436" s="21" t="s">
        <v>521</v>
      </c>
      <c r="C436" s="21" t="s">
        <v>66</v>
      </c>
      <c r="D436" s="21" t="s">
        <v>78</v>
      </c>
      <c r="E436" s="22" t="s">
        <v>29</v>
      </c>
      <c r="F436" s="19">
        <v>15000</v>
      </c>
      <c r="G436" s="20">
        <v>0</v>
      </c>
      <c r="H436" s="20">
        <v>25</v>
      </c>
      <c r="I436" s="20">
        <v>0</v>
      </c>
      <c r="J436" s="20">
        <v>0</v>
      </c>
      <c r="K436" s="20">
        <f t="shared" si="72"/>
        <v>430.5</v>
      </c>
      <c r="L436" s="20">
        <f t="shared" si="73"/>
        <v>1065</v>
      </c>
      <c r="M436" s="20">
        <v>195</v>
      </c>
      <c r="N436" s="20">
        <v>456</v>
      </c>
      <c r="O436" s="20">
        <v>1063.5</v>
      </c>
      <c r="P436" s="20">
        <v>0</v>
      </c>
      <c r="Q436" s="19">
        <f t="shared" si="74"/>
        <v>886.5</v>
      </c>
      <c r="R436" s="19">
        <f t="shared" si="75"/>
        <v>911.5</v>
      </c>
      <c r="S436" s="19">
        <f t="shared" si="76"/>
        <v>2323.5</v>
      </c>
      <c r="T436" s="19">
        <f t="shared" si="77"/>
        <v>14088.5</v>
      </c>
      <c r="U436" s="22" t="s">
        <v>30</v>
      </c>
    </row>
    <row r="437" spans="1:21" ht="15.75" customHeight="1">
      <c r="A437" s="21">
        <v>422</v>
      </c>
      <c r="B437" s="21" t="s">
        <v>522</v>
      </c>
      <c r="C437" s="21" t="s">
        <v>523</v>
      </c>
      <c r="D437" s="21" t="s">
        <v>348</v>
      </c>
      <c r="E437" s="22" t="s">
        <v>29</v>
      </c>
      <c r="F437" s="19">
        <v>80000</v>
      </c>
      <c r="G437" s="20">
        <v>7400.87</v>
      </c>
      <c r="H437" s="20">
        <v>25</v>
      </c>
      <c r="I437" s="20">
        <v>0</v>
      </c>
      <c r="J437" s="20">
        <v>0</v>
      </c>
      <c r="K437" s="20">
        <f t="shared" si="72"/>
        <v>2296</v>
      </c>
      <c r="L437" s="20">
        <f t="shared" si="73"/>
        <v>5679.9999999999991</v>
      </c>
      <c r="M437" s="20">
        <v>972.5</v>
      </c>
      <c r="N437" s="20">
        <v>2432</v>
      </c>
      <c r="O437" s="20">
        <v>5672</v>
      </c>
      <c r="P437" s="20">
        <v>0</v>
      </c>
      <c r="Q437" s="19">
        <f t="shared" si="74"/>
        <v>4728</v>
      </c>
      <c r="R437" s="19">
        <f t="shared" si="75"/>
        <v>12153.869999999999</v>
      </c>
      <c r="S437" s="19">
        <f t="shared" si="76"/>
        <v>12324.5</v>
      </c>
      <c r="T437" s="19">
        <f t="shared" si="77"/>
        <v>67846.13</v>
      </c>
      <c r="U437" s="22" t="s">
        <v>36</v>
      </c>
    </row>
    <row r="438" spans="1:21" ht="15.75" customHeight="1">
      <c r="A438" s="21">
        <v>423</v>
      </c>
      <c r="B438" s="21" t="s">
        <v>524</v>
      </c>
      <c r="C438" s="21" t="s">
        <v>63</v>
      </c>
      <c r="D438" s="21" t="s">
        <v>98</v>
      </c>
      <c r="E438" s="22" t="s">
        <v>29</v>
      </c>
      <c r="F438" s="19">
        <v>25000</v>
      </c>
      <c r="G438" s="20">
        <v>0</v>
      </c>
      <c r="H438" s="20">
        <v>25</v>
      </c>
      <c r="I438" s="20">
        <v>0</v>
      </c>
      <c r="J438" s="20">
        <v>0</v>
      </c>
      <c r="K438" s="20">
        <f t="shared" si="72"/>
        <v>717.5</v>
      </c>
      <c r="L438" s="20">
        <f t="shared" si="73"/>
        <v>1774.9999999999998</v>
      </c>
      <c r="M438" s="20">
        <v>325</v>
      </c>
      <c r="N438" s="20">
        <v>760</v>
      </c>
      <c r="O438" s="20">
        <v>1772.5</v>
      </c>
      <c r="P438" s="20">
        <v>0</v>
      </c>
      <c r="Q438" s="19">
        <f t="shared" si="74"/>
        <v>1477.5</v>
      </c>
      <c r="R438" s="19">
        <f t="shared" si="75"/>
        <v>1502.5</v>
      </c>
      <c r="S438" s="19">
        <f t="shared" si="76"/>
        <v>3872.5</v>
      </c>
      <c r="T438" s="19">
        <f t="shared" si="77"/>
        <v>23497.5</v>
      </c>
      <c r="U438" s="22" t="s">
        <v>30</v>
      </c>
    </row>
    <row r="439" spans="1:21" ht="15.75" customHeight="1">
      <c r="A439" s="17">
        <v>424</v>
      </c>
      <c r="B439" s="21" t="s">
        <v>525</v>
      </c>
      <c r="C439" s="21" t="s">
        <v>66</v>
      </c>
      <c r="D439" s="21" t="s">
        <v>61</v>
      </c>
      <c r="E439" s="22" t="s">
        <v>29</v>
      </c>
      <c r="F439" s="19">
        <v>25000</v>
      </c>
      <c r="G439" s="20">
        <v>0</v>
      </c>
      <c r="H439" s="20">
        <v>25</v>
      </c>
      <c r="I439" s="20">
        <v>0</v>
      </c>
      <c r="J439" s="20">
        <v>0</v>
      </c>
      <c r="K439" s="20">
        <f t="shared" si="72"/>
        <v>717.5</v>
      </c>
      <c r="L439" s="20">
        <f t="shared" si="73"/>
        <v>1774.9999999999998</v>
      </c>
      <c r="M439" s="20">
        <v>325</v>
      </c>
      <c r="N439" s="20">
        <v>760</v>
      </c>
      <c r="O439" s="20">
        <v>1772.5000000000002</v>
      </c>
      <c r="P439" s="20">
        <v>0</v>
      </c>
      <c r="Q439" s="19">
        <f t="shared" si="74"/>
        <v>1477.5</v>
      </c>
      <c r="R439" s="19">
        <f t="shared" si="75"/>
        <v>1502.5</v>
      </c>
      <c r="S439" s="19">
        <f t="shared" si="76"/>
        <v>3872.5</v>
      </c>
      <c r="T439" s="19">
        <f t="shared" si="77"/>
        <v>23497.5</v>
      </c>
      <c r="U439" s="22" t="s">
        <v>30</v>
      </c>
    </row>
    <row r="440" spans="1:21" ht="15.75" customHeight="1">
      <c r="A440" s="21">
        <v>425</v>
      </c>
      <c r="B440" s="21" t="s">
        <v>526</v>
      </c>
      <c r="C440" s="21" t="s">
        <v>88</v>
      </c>
      <c r="D440" s="21" t="s">
        <v>72</v>
      </c>
      <c r="E440" s="22" t="s">
        <v>29</v>
      </c>
      <c r="F440" s="19">
        <v>10000</v>
      </c>
      <c r="G440" s="20">
        <v>0</v>
      </c>
      <c r="H440" s="20">
        <v>25</v>
      </c>
      <c r="I440" s="20">
        <v>0</v>
      </c>
      <c r="J440" s="20">
        <f>500+300</f>
        <v>800</v>
      </c>
      <c r="K440" s="20">
        <f t="shared" si="72"/>
        <v>287</v>
      </c>
      <c r="L440" s="20">
        <f t="shared" si="73"/>
        <v>709.99999999999989</v>
      </c>
      <c r="M440" s="20">
        <v>130</v>
      </c>
      <c r="N440" s="20">
        <v>304</v>
      </c>
      <c r="O440" s="20">
        <v>709</v>
      </c>
      <c r="P440" s="20">
        <v>0</v>
      </c>
      <c r="Q440" s="19">
        <f t="shared" si="74"/>
        <v>591</v>
      </c>
      <c r="R440" s="19">
        <f t="shared" si="75"/>
        <v>1416</v>
      </c>
      <c r="S440" s="19">
        <f t="shared" si="76"/>
        <v>1549</v>
      </c>
      <c r="T440" s="19">
        <f t="shared" si="77"/>
        <v>8584</v>
      </c>
      <c r="U440" s="22" t="s">
        <v>30</v>
      </c>
    </row>
    <row r="441" spans="1:21" ht="15.75" customHeight="1">
      <c r="A441" s="21">
        <v>426</v>
      </c>
      <c r="B441" s="21" t="s">
        <v>527</v>
      </c>
      <c r="C441" s="21" t="s">
        <v>48</v>
      </c>
      <c r="D441" s="21" t="s">
        <v>428</v>
      </c>
      <c r="E441" s="22" t="s">
        <v>29</v>
      </c>
      <c r="F441" s="19">
        <v>35000</v>
      </c>
      <c r="G441" s="20">
        <v>0</v>
      </c>
      <c r="H441" s="20">
        <v>25</v>
      </c>
      <c r="I441" s="20">
        <v>0</v>
      </c>
      <c r="J441" s="20">
        <f>500+500+4846.11</f>
        <v>5846.11</v>
      </c>
      <c r="K441" s="20">
        <f t="shared" si="72"/>
        <v>1004.5</v>
      </c>
      <c r="L441" s="20">
        <f t="shared" si="73"/>
        <v>2485</v>
      </c>
      <c r="M441" s="20">
        <v>455</v>
      </c>
      <c r="N441" s="20">
        <v>1064</v>
      </c>
      <c r="O441" s="20">
        <v>2481.5</v>
      </c>
      <c r="P441" s="20">
        <v>0</v>
      </c>
      <c r="Q441" s="19">
        <f t="shared" si="74"/>
        <v>2068.5</v>
      </c>
      <c r="R441" s="19">
        <f t="shared" si="75"/>
        <v>7939.61</v>
      </c>
      <c r="S441" s="19">
        <f t="shared" si="76"/>
        <v>5421.5</v>
      </c>
      <c r="T441" s="19">
        <f t="shared" si="77"/>
        <v>27060.39</v>
      </c>
      <c r="U441" s="22" t="s">
        <v>36</v>
      </c>
    </row>
    <row r="442" spans="1:21" ht="15.75" customHeight="1">
      <c r="A442" s="17">
        <v>427</v>
      </c>
      <c r="B442" s="21" t="s">
        <v>528</v>
      </c>
      <c r="C442" s="21" t="s">
        <v>71</v>
      </c>
      <c r="D442" s="21" t="s">
        <v>72</v>
      </c>
      <c r="E442" s="22" t="s">
        <v>29</v>
      </c>
      <c r="F442" s="19">
        <v>18000</v>
      </c>
      <c r="G442" s="20">
        <v>0</v>
      </c>
      <c r="H442" s="20">
        <v>25</v>
      </c>
      <c r="I442" s="20">
        <v>0</v>
      </c>
      <c r="J442" s="20">
        <v>0</v>
      </c>
      <c r="K442" s="20">
        <f t="shared" si="72"/>
        <v>516.6</v>
      </c>
      <c r="L442" s="20">
        <f t="shared" si="73"/>
        <v>1277.9999999999998</v>
      </c>
      <c r="M442" s="20">
        <v>234</v>
      </c>
      <c r="N442" s="20">
        <v>547.20000000000005</v>
      </c>
      <c r="O442" s="20">
        <v>1276.2</v>
      </c>
      <c r="P442" s="20">
        <v>0</v>
      </c>
      <c r="Q442" s="19">
        <f t="shared" si="74"/>
        <v>1063.8000000000002</v>
      </c>
      <c r="R442" s="19">
        <f t="shared" si="75"/>
        <v>1088.8000000000002</v>
      </c>
      <c r="S442" s="19">
        <f t="shared" si="76"/>
        <v>2788.2</v>
      </c>
      <c r="T442" s="19">
        <f t="shared" si="77"/>
        <v>16911.2</v>
      </c>
      <c r="U442" s="22" t="s">
        <v>36</v>
      </c>
    </row>
    <row r="443" spans="1:21" ht="15.75" customHeight="1">
      <c r="A443" s="21">
        <v>428</v>
      </c>
      <c r="B443" s="21" t="s">
        <v>529</v>
      </c>
      <c r="C443" s="21" t="s">
        <v>68</v>
      </c>
      <c r="D443" s="21" t="s">
        <v>135</v>
      </c>
      <c r="E443" s="22" t="s">
        <v>29</v>
      </c>
      <c r="F443" s="19">
        <v>18000</v>
      </c>
      <c r="G443" s="20">
        <v>0</v>
      </c>
      <c r="H443" s="20">
        <v>25</v>
      </c>
      <c r="I443" s="20">
        <v>0</v>
      </c>
      <c r="J443" s="20">
        <f>600+300</f>
        <v>900</v>
      </c>
      <c r="K443" s="20">
        <f t="shared" si="72"/>
        <v>516.6</v>
      </c>
      <c r="L443" s="20">
        <f t="shared" si="73"/>
        <v>1277.9999999999998</v>
      </c>
      <c r="M443" s="20">
        <v>234</v>
      </c>
      <c r="N443" s="20">
        <v>547.20000000000005</v>
      </c>
      <c r="O443" s="20">
        <v>1276.2</v>
      </c>
      <c r="P443" s="20">
        <v>0</v>
      </c>
      <c r="Q443" s="19">
        <f t="shared" si="74"/>
        <v>1063.8000000000002</v>
      </c>
      <c r="R443" s="19">
        <f t="shared" si="75"/>
        <v>1988.8</v>
      </c>
      <c r="S443" s="19">
        <f t="shared" si="76"/>
        <v>2788.2</v>
      </c>
      <c r="T443" s="19">
        <f t="shared" si="77"/>
        <v>16011.2</v>
      </c>
      <c r="U443" s="22" t="s">
        <v>36</v>
      </c>
    </row>
    <row r="444" spans="1:21" ht="15.75" customHeight="1">
      <c r="A444" s="21">
        <v>429</v>
      </c>
      <c r="B444" s="21" t="s">
        <v>530</v>
      </c>
      <c r="C444" s="21" t="s">
        <v>531</v>
      </c>
      <c r="D444" s="21" t="s">
        <v>98</v>
      </c>
      <c r="E444" s="22" t="s">
        <v>302</v>
      </c>
      <c r="F444" s="19">
        <v>20000</v>
      </c>
      <c r="G444" s="20">
        <v>0</v>
      </c>
      <c r="H444" s="20">
        <v>25</v>
      </c>
      <c r="I444" s="20">
        <v>0</v>
      </c>
      <c r="J444" s="20">
        <v>0</v>
      </c>
      <c r="K444" s="20">
        <f t="shared" si="72"/>
        <v>574</v>
      </c>
      <c r="L444" s="20">
        <f t="shared" si="73"/>
        <v>1419.9999999999998</v>
      </c>
      <c r="M444" s="20">
        <v>260</v>
      </c>
      <c r="N444" s="20">
        <v>608</v>
      </c>
      <c r="O444" s="20">
        <v>1418</v>
      </c>
      <c r="P444" s="20">
        <v>0</v>
      </c>
      <c r="Q444" s="19">
        <f t="shared" si="74"/>
        <v>1182</v>
      </c>
      <c r="R444" s="19">
        <f t="shared" si="75"/>
        <v>1207</v>
      </c>
      <c r="S444" s="19">
        <f t="shared" si="76"/>
        <v>3098</v>
      </c>
      <c r="T444" s="19">
        <f t="shared" si="77"/>
        <v>18793</v>
      </c>
      <c r="U444" s="22" t="s">
        <v>30</v>
      </c>
    </row>
    <row r="445" spans="1:21" ht="15.75" customHeight="1">
      <c r="A445" s="17">
        <v>430</v>
      </c>
      <c r="B445" s="21" t="s">
        <v>532</v>
      </c>
      <c r="C445" s="21" t="s">
        <v>533</v>
      </c>
      <c r="D445" s="21" t="s">
        <v>98</v>
      </c>
      <c r="E445" s="22" t="s">
        <v>29</v>
      </c>
      <c r="F445" s="19">
        <v>14000</v>
      </c>
      <c r="G445" s="20">
        <v>0</v>
      </c>
      <c r="H445" s="20">
        <v>25</v>
      </c>
      <c r="I445" s="20">
        <v>0</v>
      </c>
      <c r="J445" s="20">
        <f>700+300+1937.96+6808.15</f>
        <v>9746.11</v>
      </c>
      <c r="K445" s="20">
        <f t="shared" si="72"/>
        <v>401.8</v>
      </c>
      <c r="L445" s="20">
        <f t="shared" si="73"/>
        <v>993.99999999999989</v>
      </c>
      <c r="M445" s="20">
        <v>182</v>
      </c>
      <c r="N445" s="20">
        <v>425.6</v>
      </c>
      <c r="O445" s="20">
        <v>992.6</v>
      </c>
      <c r="P445" s="20">
        <v>0</v>
      </c>
      <c r="Q445" s="19">
        <f t="shared" si="74"/>
        <v>827.40000000000009</v>
      </c>
      <c r="R445" s="19">
        <f t="shared" si="75"/>
        <v>10598.51</v>
      </c>
      <c r="S445" s="19">
        <f t="shared" si="76"/>
        <v>2168.6</v>
      </c>
      <c r="T445" s="19">
        <f t="shared" si="77"/>
        <v>3401.49</v>
      </c>
      <c r="U445" s="22" t="s">
        <v>30</v>
      </c>
    </row>
    <row r="446" spans="1:21" ht="15.75" customHeight="1">
      <c r="A446" s="21">
        <v>431</v>
      </c>
      <c r="B446" s="21" t="s">
        <v>534</v>
      </c>
      <c r="C446" s="21" t="s">
        <v>68</v>
      </c>
      <c r="D446" s="21" t="s">
        <v>55</v>
      </c>
      <c r="E446" s="22" t="s">
        <v>29</v>
      </c>
      <c r="F446" s="19">
        <v>15000</v>
      </c>
      <c r="G446" s="20">
        <v>0</v>
      </c>
      <c r="H446" s="20">
        <v>25</v>
      </c>
      <c r="I446" s="20">
        <v>0</v>
      </c>
      <c r="J446" s="20">
        <v>0</v>
      </c>
      <c r="K446" s="20">
        <f t="shared" si="72"/>
        <v>430.5</v>
      </c>
      <c r="L446" s="20">
        <f t="shared" si="73"/>
        <v>1065</v>
      </c>
      <c r="M446" s="20">
        <v>195</v>
      </c>
      <c r="N446" s="20">
        <v>456</v>
      </c>
      <c r="O446" s="20">
        <v>1063.5</v>
      </c>
      <c r="P446" s="20">
        <v>0</v>
      </c>
      <c r="Q446" s="19">
        <f t="shared" si="74"/>
        <v>886.5</v>
      </c>
      <c r="R446" s="19">
        <f t="shared" si="75"/>
        <v>911.5</v>
      </c>
      <c r="S446" s="19">
        <f t="shared" si="76"/>
        <v>2323.5</v>
      </c>
      <c r="T446" s="19">
        <f t="shared" si="77"/>
        <v>14088.5</v>
      </c>
      <c r="U446" s="22" t="s">
        <v>36</v>
      </c>
    </row>
    <row r="447" spans="1:21" ht="15.75" customHeight="1">
      <c r="A447" s="21">
        <v>432</v>
      </c>
      <c r="B447" s="21" t="s">
        <v>535</v>
      </c>
      <c r="C447" s="21" t="s">
        <v>88</v>
      </c>
      <c r="D447" s="21" t="s">
        <v>58</v>
      </c>
      <c r="E447" s="22" t="s">
        <v>29</v>
      </c>
      <c r="F447" s="19">
        <v>10000</v>
      </c>
      <c r="G447" s="20">
        <v>0</v>
      </c>
      <c r="H447" s="20">
        <v>25</v>
      </c>
      <c r="I447" s="20">
        <v>0</v>
      </c>
      <c r="J447" s="20">
        <f>500+1000+1697.84</f>
        <v>3197.84</v>
      </c>
      <c r="K447" s="20">
        <f t="shared" si="72"/>
        <v>287</v>
      </c>
      <c r="L447" s="20">
        <f t="shared" si="73"/>
        <v>709.99999999999989</v>
      </c>
      <c r="M447" s="20">
        <v>130</v>
      </c>
      <c r="N447" s="20">
        <v>304</v>
      </c>
      <c r="O447" s="20">
        <v>709</v>
      </c>
      <c r="P447" s="20">
        <v>1587.38</v>
      </c>
      <c r="Q447" s="19">
        <f t="shared" si="74"/>
        <v>591</v>
      </c>
      <c r="R447" s="19">
        <f t="shared" si="75"/>
        <v>5401.22</v>
      </c>
      <c r="S447" s="19">
        <f t="shared" si="76"/>
        <v>1549</v>
      </c>
      <c r="T447" s="19">
        <f t="shared" si="77"/>
        <v>4598.78</v>
      </c>
      <c r="U447" s="22" t="s">
        <v>36</v>
      </c>
    </row>
    <row r="448" spans="1:21" ht="15.75" customHeight="1">
      <c r="A448" s="17">
        <v>433</v>
      </c>
      <c r="B448" s="21" t="s">
        <v>536</v>
      </c>
      <c r="C448" s="21" t="s">
        <v>171</v>
      </c>
      <c r="D448" s="21" t="s">
        <v>172</v>
      </c>
      <c r="E448" s="22" t="s">
        <v>29</v>
      </c>
      <c r="F448" s="19">
        <v>20000</v>
      </c>
      <c r="G448" s="20">
        <v>0</v>
      </c>
      <c r="H448" s="20">
        <v>25</v>
      </c>
      <c r="I448" s="20">
        <v>0</v>
      </c>
      <c r="J448" s="20">
        <v>0</v>
      </c>
      <c r="K448" s="20">
        <f t="shared" si="72"/>
        <v>574</v>
      </c>
      <c r="L448" s="20">
        <f t="shared" si="73"/>
        <v>1419.9999999999998</v>
      </c>
      <c r="M448" s="20">
        <v>260</v>
      </c>
      <c r="N448" s="20">
        <v>608</v>
      </c>
      <c r="O448" s="20">
        <v>1418</v>
      </c>
      <c r="P448" s="20">
        <v>0</v>
      </c>
      <c r="Q448" s="19">
        <f t="shared" si="74"/>
        <v>1182</v>
      </c>
      <c r="R448" s="19">
        <f t="shared" si="75"/>
        <v>1207</v>
      </c>
      <c r="S448" s="19">
        <f t="shared" si="76"/>
        <v>3098</v>
      </c>
      <c r="T448" s="19">
        <f t="shared" si="77"/>
        <v>18793</v>
      </c>
      <c r="U448" s="22" t="s">
        <v>36</v>
      </c>
    </row>
    <row r="449" spans="1:21" ht="15.75" customHeight="1">
      <c r="A449" s="21">
        <v>434</v>
      </c>
      <c r="B449" s="21" t="s">
        <v>537</v>
      </c>
      <c r="C449" s="21" t="s">
        <v>66</v>
      </c>
      <c r="D449" s="21" t="s">
        <v>61</v>
      </c>
      <c r="E449" s="22" t="s">
        <v>29</v>
      </c>
      <c r="F449" s="19">
        <v>20000</v>
      </c>
      <c r="G449" s="20">
        <v>0</v>
      </c>
      <c r="H449" s="20">
        <v>25</v>
      </c>
      <c r="I449" s="20">
        <v>0</v>
      </c>
      <c r="J449" s="20">
        <v>0</v>
      </c>
      <c r="K449" s="20">
        <f t="shared" si="72"/>
        <v>574</v>
      </c>
      <c r="L449" s="20">
        <f t="shared" si="73"/>
        <v>1419.9999999999998</v>
      </c>
      <c r="M449" s="20">
        <v>260</v>
      </c>
      <c r="N449" s="20">
        <v>608</v>
      </c>
      <c r="O449" s="20">
        <v>1418</v>
      </c>
      <c r="P449" s="20">
        <v>0</v>
      </c>
      <c r="Q449" s="19">
        <f t="shared" si="74"/>
        <v>1182</v>
      </c>
      <c r="R449" s="19">
        <f t="shared" si="75"/>
        <v>1207</v>
      </c>
      <c r="S449" s="19">
        <f t="shared" si="76"/>
        <v>3098</v>
      </c>
      <c r="T449" s="19">
        <f t="shared" si="77"/>
        <v>18793</v>
      </c>
      <c r="U449" s="22" t="s">
        <v>30</v>
      </c>
    </row>
    <row r="450" spans="1:21" ht="15.75" customHeight="1">
      <c r="A450" s="21">
        <v>435</v>
      </c>
      <c r="B450" s="21" t="s">
        <v>538</v>
      </c>
      <c r="C450" s="21" t="s">
        <v>71</v>
      </c>
      <c r="D450" s="21" t="s">
        <v>72</v>
      </c>
      <c r="E450" s="22" t="s">
        <v>29</v>
      </c>
      <c r="F450" s="19">
        <v>10000</v>
      </c>
      <c r="G450" s="20">
        <v>0</v>
      </c>
      <c r="H450" s="20">
        <v>25</v>
      </c>
      <c r="I450" s="20">
        <v>0</v>
      </c>
      <c r="J450" s="20">
        <v>0</v>
      </c>
      <c r="K450" s="20">
        <f t="shared" si="72"/>
        <v>287</v>
      </c>
      <c r="L450" s="20">
        <f t="shared" si="73"/>
        <v>709.99999999999989</v>
      </c>
      <c r="M450" s="20">
        <v>130</v>
      </c>
      <c r="N450" s="20">
        <v>304</v>
      </c>
      <c r="O450" s="20">
        <v>709</v>
      </c>
      <c r="P450" s="20">
        <v>0</v>
      </c>
      <c r="Q450" s="19">
        <f t="shared" si="74"/>
        <v>591</v>
      </c>
      <c r="R450" s="19">
        <f t="shared" si="75"/>
        <v>616</v>
      </c>
      <c r="S450" s="19">
        <f t="shared" si="76"/>
        <v>1549</v>
      </c>
      <c r="T450" s="19">
        <f t="shared" si="77"/>
        <v>9384</v>
      </c>
      <c r="U450" s="22" t="s">
        <v>36</v>
      </c>
    </row>
    <row r="451" spans="1:21" ht="15.75" customHeight="1">
      <c r="A451" s="17">
        <v>436</v>
      </c>
      <c r="B451" s="21" t="s">
        <v>539</v>
      </c>
      <c r="C451" s="21" t="s">
        <v>88</v>
      </c>
      <c r="D451" s="21" t="s">
        <v>58</v>
      </c>
      <c r="E451" s="22" t="s">
        <v>29</v>
      </c>
      <c r="F451" s="19">
        <v>10000</v>
      </c>
      <c r="G451" s="20">
        <v>0</v>
      </c>
      <c r="H451" s="20">
        <v>25</v>
      </c>
      <c r="I451" s="20">
        <v>0</v>
      </c>
      <c r="J451" s="20">
        <f>1000+1000+2286.04</f>
        <v>4286.04</v>
      </c>
      <c r="K451" s="20">
        <f t="shared" si="72"/>
        <v>287</v>
      </c>
      <c r="L451" s="20">
        <f t="shared" si="73"/>
        <v>709.99999999999989</v>
      </c>
      <c r="M451" s="20">
        <v>130</v>
      </c>
      <c r="N451" s="20">
        <v>304</v>
      </c>
      <c r="O451" s="20">
        <v>709</v>
      </c>
      <c r="P451" s="20">
        <v>0</v>
      </c>
      <c r="Q451" s="19">
        <f t="shared" si="74"/>
        <v>591</v>
      </c>
      <c r="R451" s="19">
        <f t="shared" si="75"/>
        <v>4902.04</v>
      </c>
      <c r="S451" s="19">
        <f t="shared" si="76"/>
        <v>1549</v>
      </c>
      <c r="T451" s="19">
        <f t="shared" si="77"/>
        <v>5097.96</v>
      </c>
      <c r="U451" s="22" t="s">
        <v>36</v>
      </c>
    </row>
    <row r="452" spans="1:21" ht="15.75" customHeight="1">
      <c r="A452" s="21">
        <v>437</v>
      </c>
      <c r="B452" s="21" t="s">
        <v>540</v>
      </c>
      <c r="C452" s="21" t="s">
        <v>88</v>
      </c>
      <c r="D452" s="21" t="s">
        <v>61</v>
      </c>
      <c r="E452" s="22" t="s">
        <v>29</v>
      </c>
      <c r="F452" s="19">
        <v>15000</v>
      </c>
      <c r="G452" s="20">
        <v>0</v>
      </c>
      <c r="H452" s="20">
        <v>25</v>
      </c>
      <c r="I452" s="20">
        <v>0</v>
      </c>
      <c r="J452" s="20">
        <v>0</v>
      </c>
      <c r="K452" s="20">
        <f t="shared" si="72"/>
        <v>430.5</v>
      </c>
      <c r="L452" s="20">
        <f t="shared" si="73"/>
        <v>1065</v>
      </c>
      <c r="M452" s="20">
        <v>195</v>
      </c>
      <c r="N452" s="20">
        <v>456</v>
      </c>
      <c r="O452" s="20">
        <v>1063.5</v>
      </c>
      <c r="P452" s="20">
        <v>0</v>
      </c>
      <c r="Q452" s="19">
        <f t="shared" si="74"/>
        <v>886.5</v>
      </c>
      <c r="R452" s="19">
        <f t="shared" si="75"/>
        <v>911.5</v>
      </c>
      <c r="S452" s="19">
        <f t="shared" si="76"/>
        <v>2323.5</v>
      </c>
      <c r="T452" s="19">
        <f t="shared" si="77"/>
        <v>14088.5</v>
      </c>
      <c r="U452" s="22" t="s">
        <v>30</v>
      </c>
    </row>
    <row r="453" spans="1:21" ht="15.75" customHeight="1">
      <c r="A453" s="21">
        <v>438</v>
      </c>
      <c r="B453" s="21" t="s">
        <v>541</v>
      </c>
      <c r="C453" s="21" t="s">
        <v>355</v>
      </c>
      <c r="D453" s="21" t="s">
        <v>428</v>
      </c>
      <c r="E453" s="22" t="s">
        <v>302</v>
      </c>
      <c r="F453" s="19">
        <v>10000</v>
      </c>
      <c r="G453" s="20">
        <v>0</v>
      </c>
      <c r="H453" s="20">
        <v>25</v>
      </c>
      <c r="I453" s="20">
        <v>0</v>
      </c>
      <c r="J453" s="20">
        <v>0</v>
      </c>
      <c r="K453" s="20">
        <f t="shared" si="72"/>
        <v>287</v>
      </c>
      <c r="L453" s="20">
        <f t="shared" si="73"/>
        <v>709.99999999999989</v>
      </c>
      <c r="M453" s="20">
        <v>130</v>
      </c>
      <c r="N453" s="20">
        <v>304</v>
      </c>
      <c r="O453" s="20">
        <v>709</v>
      </c>
      <c r="P453" s="20">
        <v>0</v>
      </c>
      <c r="Q453" s="19">
        <f t="shared" si="74"/>
        <v>591</v>
      </c>
      <c r="R453" s="19">
        <f t="shared" si="75"/>
        <v>616</v>
      </c>
      <c r="S453" s="19">
        <f t="shared" si="76"/>
        <v>1549</v>
      </c>
      <c r="T453" s="19">
        <f t="shared" si="77"/>
        <v>9384</v>
      </c>
      <c r="U453" s="22" t="s">
        <v>30</v>
      </c>
    </row>
    <row r="454" spans="1:21" ht="15.75" customHeight="1">
      <c r="A454" s="17">
        <v>439</v>
      </c>
      <c r="B454" s="21" t="s">
        <v>542</v>
      </c>
      <c r="C454" s="21" t="s">
        <v>57</v>
      </c>
      <c r="D454" s="21" t="s">
        <v>58</v>
      </c>
      <c r="E454" s="22" t="s">
        <v>29</v>
      </c>
      <c r="F454" s="19">
        <v>15000</v>
      </c>
      <c r="G454" s="20">
        <v>0</v>
      </c>
      <c r="H454" s="20">
        <v>25</v>
      </c>
      <c r="I454" s="20">
        <v>0</v>
      </c>
      <c r="J454" s="20">
        <v>0</v>
      </c>
      <c r="K454" s="20">
        <f t="shared" si="72"/>
        <v>430.5</v>
      </c>
      <c r="L454" s="20">
        <f t="shared" si="73"/>
        <v>1065</v>
      </c>
      <c r="M454" s="20">
        <v>195</v>
      </c>
      <c r="N454" s="20">
        <v>456</v>
      </c>
      <c r="O454" s="20">
        <v>1063.5</v>
      </c>
      <c r="P454" s="20">
        <v>0</v>
      </c>
      <c r="Q454" s="19">
        <f t="shared" si="74"/>
        <v>886.5</v>
      </c>
      <c r="R454" s="19">
        <f t="shared" si="75"/>
        <v>911.5</v>
      </c>
      <c r="S454" s="19">
        <f t="shared" si="76"/>
        <v>2323.5</v>
      </c>
      <c r="T454" s="19">
        <f t="shared" si="77"/>
        <v>14088.5</v>
      </c>
      <c r="U454" s="22" t="s">
        <v>30</v>
      </c>
    </row>
    <row r="455" spans="1:21" ht="15.75" customHeight="1">
      <c r="A455" s="21">
        <v>440</v>
      </c>
      <c r="B455" s="21" t="s">
        <v>543</v>
      </c>
      <c r="C455" s="21" t="s">
        <v>322</v>
      </c>
      <c r="D455" s="21" t="s">
        <v>61</v>
      </c>
      <c r="E455" s="22" t="s">
        <v>29</v>
      </c>
      <c r="F455" s="19">
        <v>25000</v>
      </c>
      <c r="G455" s="20">
        <v>0</v>
      </c>
      <c r="H455" s="20">
        <v>25</v>
      </c>
      <c r="I455" s="20">
        <v>0</v>
      </c>
      <c r="J455" s="20">
        <v>0</v>
      </c>
      <c r="K455" s="20">
        <f t="shared" si="72"/>
        <v>717.5</v>
      </c>
      <c r="L455" s="20">
        <f t="shared" si="73"/>
        <v>1774.9999999999998</v>
      </c>
      <c r="M455" s="20">
        <v>325</v>
      </c>
      <c r="N455" s="20">
        <v>760</v>
      </c>
      <c r="O455" s="20">
        <v>1772.5000000000002</v>
      </c>
      <c r="P455" s="20">
        <v>0</v>
      </c>
      <c r="Q455" s="19">
        <f t="shared" si="74"/>
        <v>1477.5</v>
      </c>
      <c r="R455" s="19">
        <f t="shared" si="75"/>
        <v>1502.5</v>
      </c>
      <c r="S455" s="19">
        <f t="shared" si="76"/>
        <v>3872.5</v>
      </c>
      <c r="T455" s="19">
        <f t="shared" si="77"/>
        <v>23497.5</v>
      </c>
      <c r="U455" s="22" t="s">
        <v>36</v>
      </c>
    </row>
    <row r="456" spans="1:21" ht="15.75" customHeight="1">
      <c r="A456" s="21">
        <v>441</v>
      </c>
      <c r="B456" s="21" t="s">
        <v>544</v>
      </c>
      <c r="C456" s="21" t="s">
        <v>545</v>
      </c>
      <c r="D456" s="21" t="s">
        <v>69</v>
      </c>
      <c r="E456" s="22" t="s">
        <v>29</v>
      </c>
      <c r="F456" s="19">
        <v>30000</v>
      </c>
      <c r="G456" s="20">
        <v>0</v>
      </c>
      <c r="H456" s="20">
        <v>25</v>
      </c>
      <c r="I456" s="20">
        <v>0</v>
      </c>
      <c r="J456" s="20">
        <f>500+1000+970.26</f>
        <v>2470.2600000000002</v>
      </c>
      <c r="K456" s="20">
        <f t="shared" si="72"/>
        <v>861</v>
      </c>
      <c r="L456" s="20">
        <f t="shared" si="73"/>
        <v>2130</v>
      </c>
      <c r="M456" s="20">
        <v>390</v>
      </c>
      <c r="N456" s="20">
        <v>912</v>
      </c>
      <c r="O456" s="20">
        <v>2127</v>
      </c>
      <c r="P456" s="20">
        <v>0</v>
      </c>
      <c r="Q456" s="19">
        <f t="shared" si="74"/>
        <v>1773</v>
      </c>
      <c r="R456" s="19">
        <f t="shared" si="75"/>
        <v>4268.26</v>
      </c>
      <c r="S456" s="19">
        <f t="shared" si="76"/>
        <v>4647</v>
      </c>
      <c r="T456" s="19">
        <f t="shared" si="77"/>
        <v>25731.739999999998</v>
      </c>
      <c r="U456" s="22" t="s">
        <v>36</v>
      </c>
    </row>
    <row r="457" spans="1:21" ht="15.75" customHeight="1">
      <c r="A457" s="17">
        <v>442</v>
      </c>
      <c r="B457" s="21" t="s">
        <v>546</v>
      </c>
      <c r="C457" s="21" t="s">
        <v>547</v>
      </c>
      <c r="D457" s="21" t="s">
        <v>72</v>
      </c>
      <c r="E457" s="22" t="s">
        <v>29</v>
      </c>
      <c r="F457" s="19">
        <v>12000</v>
      </c>
      <c r="G457" s="20">
        <v>0</v>
      </c>
      <c r="H457" s="20">
        <v>25</v>
      </c>
      <c r="I457" s="20">
        <v>0</v>
      </c>
      <c r="J457" s="20">
        <v>0</v>
      </c>
      <c r="K457" s="20">
        <f t="shared" si="72"/>
        <v>344.4</v>
      </c>
      <c r="L457" s="20">
        <f t="shared" si="73"/>
        <v>851.99999999999989</v>
      </c>
      <c r="M457" s="20">
        <v>156</v>
      </c>
      <c r="N457" s="20">
        <v>364.8</v>
      </c>
      <c r="O457" s="20">
        <v>850.80000000000007</v>
      </c>
      <c r="P457" s="20">
        <v>1587.38</v>
      </c>
      <c r="Q457" s="19">
        <f t="shared" si="74"/>
        <v>709.2</v>
      </c>
      <c r="R457" s="19">
        <f t="shared" si="75"/>
        <v>2321.58</v>
      </c>
      <c r="S457" s="19">
        <f t="shared" si="76"/>
        <v>1858.8</v>
      </c>
      <c r="T457" s="19">
        <f t="shared" si="77"/>
        <v>9678.42</v>
      </c>
      <c r="U457" s="22" t="s">
        <v>30</v>
      </c>
    </row>
    <row r="458" spans="1:21" ht="15.75" customHeight="1">
      <c r="A458" s="21">
        <v>443</v>
      </c>
      <c r="B458" s="21" t="s">
        <v>548</v>
      </c>
      <c r="C458" s="21" t="s">
        <v>51</v>
      </c>
      <c r="D458" s="21" t="s">
        <v>52</v>
      </c>
      <c r="E458" s="22" t="s">
        <v>29</v>
      </c>
      <c r="F458" s="19">
        <v>15000</v>
      </c>
      <c r="G458" s="20">
        <v>0</v>
      </c>
      <c r="H458" s="20">
        <v>25</v>
      </c>
      <c r="I458" s="20">
        <v>0</v>
      </c>
      <c r="J458" s="20">
        <v>0</v>
      </c>
      <c r="K458" s="20">
        <f t="shared" si="72"/>
        <v>430.5</v>
      </c>
      <c r="L458" s="20">
        <f t="shared" si="73"/>
        <v>1065</v>
      </c>
      <c r="M458" s="20">
        <v>195</v>
      </c>
      <c r="N458" s="20">
        <v>456</v>
      </c>
      <c r="O458" s="20">
        <v>1063.5</v>
      </c>
      <c r="P458" s="20">
        <v>0</v>
      </c>
      <c r="Q458" s="19">
        <f t="shared" si="74"/>
        <v>886.5</v>
      </c>
      <c r="R458" s="19">
        <f t="shared" si="75"/>
        <v>911.5</v>
      </c>
      <c r="S458" s="19">
        <f t="shared" si="76"/>
        <v>2323.5</v>
      </c>
      <c r="T458" s="19">
        <f t="shared" si="77"/>
        <v>14088.5</v>
      </c>
      <c r="U458" s="22" t="s">
        <v>30</v>
      </c>
    </row>
    <row r="459" spans="1:21" ht="15.75" customHeight="1">
      <c r="A459" s="21">
        <v>444</v>
      </c>
      <c r="B459" s="21" t="s">
        <v>549</v>
      </c>
      <c r="C459" s="21" t="s">
        <v>355</v>
      </c>
      <c r="D459" s="21" t="s">
        <v>78</v>
      </c>
      <c r="E459" s="22" t="s">
        <v>29</v>
      </c>
      <c r="F459" s="19">
        <v>11000</v>
      </c>
      <c r="G459" s="20">
        <v>0</v>
      </c>
      <c r="H459" s="20">
        <v>25</v>
      </c>
      <c r="I459" s="20">
        <v>0</v>
      </c>
      <c r="J459" s="20">
        <v>0</v>
      </c>
      <c r="K459" s="20">
        <f t="shared" si="72"/>
        <v>315.7</v>
      </c>
      <c r="L459" s="20">
        <f t="shared" si="73"/>
        <v>780.99999999999989</v>
      </c>
      <c r="M459" s="20">
        <v>143</v>
      </c>
      <c r="N459" s="20">
        <v>334.4</v>
      </c>
      <c r="O459" s="20">
        <v>779.90000000000009</v>
      </c>
      <c r="P459" s="20">
        <v>0</v>
      </c>
      <c r="Q459" s="19">
        <f t="shared" si="74"/>
        <v>650.09999999999991</v>
      </c>
      <c r="R459" s="19">
        <f t="shared" si="75"/>
        <v>675.09999999999991</v>
      </c>
      <c r="S459" s="19">
        <f t="shared" si="76"/>
        <v>1703.9</v>
      </c>
      <c r="T459" s="19">
        <f t="shared" si="77"/>
        <v>10324.9</v>
      </c>
      <c r="U459" s="22" t="s">
        <v>30</v>
      </c>
    </row>
    <row r="460" spans="1:21" ht="15.75" customHeight="1">
      <c r="A460" s="17">
        <v>445</v>
      </c>
      <c r="B460" s="21" t="s">
        <v>550</v>
      </c>
      <c r="C460" s="21" t="s">
        <v>68</v>
      </c>
      <c r="D460" s="21" t="s">
        <v>55</v>
      </c>
      <c r="E460" s="22" t="s">
        <v>29</v>
      </c>
      <c r="F460" s="19">
        <v>35000</v>
      </c>
      <c r="G460" s="20">
        <v>0</v>
      </c>
      <c r="H460" s="20">
        <v>25</v>
      </c>
      <c r="I460" s="20">
        <v>0</v>
      </c>
      <c r="J460" s="20">
        <f>1000+300</f>
        <v>1300</v>
      </c>
      <c r="K460" s="20">
        <f t="shared" si="72"/>
        <v>1004.5</v>
      </c>
      <c r="L460" s="20">
        <f t="shared" si="73"/>
        <v>2485</v>
      </c>
      <c r="M460" s="20">
        <v>455</v>
      </c>
      <c r="N460" s="20">
        <v>1064</v>
      </c>
      <c r="O460" s="20">
        <v>2481.5</v>
      </c>
      <c r="P460" s="20">
        <v>1587.38</v>
      </c>
      <c r="Q460" s="19">
        <f t="shared" si="74"/>
        <v>2068.5</v>
      </c>
      <c r="R460" s="19">
        <f t="shared" si="75"/>
        <v>4980.88</v>
      </c>
      <c r="S460" s="19">
        <f t="shared" si="76"/>
        <v>5421.5</v>
      </c>
      <c r="T460" s="19">
        <f t="shared" si="77"/>
        <v>30019.119999999999</v>
      </c>
      <c r="U460" s="22" t="s">
        <v>36</v>
      </c>
    </row>
    <row r="461" spans="1:21" ht="15.75" customHeight="1">
      <c r="A461" s="21">
        <v>446</v>
      </c>
      <c r="B461" s="21" t="s">
        <v>551</v>
      </c>
      <c r="C461" s="21" t="s">
        <v>71</v>
      </c>
      <c r="D461" s="21" t="s">
        <v>72</v>
      </c>
      <c r="E461" s="22" t="s">
        <v>29</v>
      </c>
      <c r="F461" s="19">
        <v>10000</v>
      </c>
      <c r="G461" s="20">
        <v>0</v>
      </c>
      <c r="H461" s="20">
        <v>25</v>
      </c>
      <c r="I461" s="20">
        <v>0</v>
      </c>
      <c r="J461" s="20">
        <f>1000+300+3794.36</f>
        <v>5094.3600000000006</v>
      </c>
      <c r="K461" s="20">
        <f t="shared" si="72"/>
        <v>287</v>
      </c>
      <c r="L461" s="20">
        <f t="shared" si="73"/>
        <v>709.99999999999989</v>
      </c>
      <c r="M461" s="20">
        <v>130</v>
      </c>
      <c r="N461" s="20">
        <v>304</v>
      </c>
      <c r="O461" s="20">
        <v>709</v>
      </c>
      <c r="P461" s="20">
        <v>0</v>
      </c>
      <c r="Q461" s="19">
        <f t="shared" si="74"/>
        <v>591</v>
      </c>
      <c r="R461" s="19">
        <f t="shared" si="75"/>
        <v>5710.3600000000006</v>
      </c>
      <c r="S461" s="19">
        <f t="shared" si="76"/>
        <v>1549</v>
      </c>
      <c r="T461" s="19">
        <f t="shared" si="77"/>
        <v>4289.6399999999994</v>
      </c>
      <c r="U461" s="22" t="s">
        <v>36</v>
      </c>
    </row>
    <row r="462" spans="1:21" ht="15.75" customHeight="1">
      <c r="A462" s="21">
        <v>447</v>
      </c>
      <c r="B462" s="21" t="s">
        <v>552</v>
      </c>
      <c r="C462" s="21" t="s">
        <v>88</v>
      </c>
      <c r="D462" s="21" t="s">
        <v>61</v>
      </c>
      <c r="E462" s="22" t="s">
        <v>29</v>
      </c>
      <c r="F462" s="19">
        <v>10000</v>
      </c>
      <c r="G462" s="20">
        <v>0</v>
      </c>
      <c r="H462" s="20">
        <v>25</v>
      </c>
      <c r="I462" s="20">
        <v>0</v>
      </c>
      <c r="J462" s="20">
        <v>0</v>
      </c>
      <c r="K462" s="20">
        <f t="shared" si="72"/>
        <v>287</v>
      </c>
      <c r="L462" s="20">
        <f t="shared" si="73"/>
        <v>709.99999999999989</v>
      </c>
      <c r="M462" s="20">
        <v>130</v>
      </c>
      <c r="N462" s="20">
        <v>304</v>
      </c>
      <c r="O462" s="20">
        <v>709</v>
      </c>
      <c r="P462" s="20">
        <v>0</v>
      </c>
      <c r="Q462" s="19">
        <f t="shared" si="74"/>
        <v>591</v>
      </c>
      <c r="R462" s="19">
        <f t="shared" si="75"/>
        <v>616</v>
      </c>
      <c r="S462" s="19">
        <f t="shared" si="76"/>
        <v>1549</v>
      </c>
      <c r="T462" s="19">
        <f t="shared" si="77"/>
        <v>9384</v>
      </c>
      <c r="U462" s="22" t="s">
        <v>30</v>
      </c>
    </row>
    <row r="463" spans="1:21" ht="15.75" customHeight="1">
      <c r="A463" s="17">
        <v>448</v>
      </c>
      <c r="B463" s="21" t="s">
        <v>553</v>
      </c>
      <c r="C463" s="21" t="s">
        <v>88</v>
      </c>
      <c r="D463" s="21" t="s">
        <v>554</v>
      </c>
      <c r="E463" s="22" t="s">
        <v>29</v>
      </c>
      <c r="F463" s="19">
        <v>10000</v>
      </c>
      <c r="G463" s="20">
        <v>0</v>
      </c>
      <c r="H463" s="20">
        <v>25</v>
      </c>
      <c r="I463" s="20">
        <v>0</v>
      </c>
      <c r="J463" s="20">
        <v>0</v>
      </c>
      <c r="K463" s="20">
        <f t="shared" ref="K463:K525" si="78">F463*2.87%</f>
        <v>287</v>
      </c>
      <c r="L463" s="20">
        <f t="shared" ref="L463:L525" si="79">F463*7.1%</f>
        <v>709.99999999999989</v>
      </c>
      <c r="M463" s="20">
        <v>130</v>
      </c>
      <c r="N463" s="20">
        <v>304</v>
      </c>
      <c r="O463" s="20">
        <v>709</v>
      </c>
      <c r="P463" s="20">
        <v>0</v>
      </c>
      <c r="Q463" s="19">
        <f t="shared" ref="Q463:Q525" si="80">K463+N463</f>
        <v>591</v>
      </c>
      <c r="R463" s="19">
        <f t="shared" ref="R463:R525" si="81">G463+H463+I463+J463+K463+N463+P463</f>
        <v>616</v>
      </c>
      <c r="S463" s="19">
        <f t="shared" ref="S463:S525" si="82">L463+M463+O463</f>
        <v>1549</v>
      </c>
      <c r="T463" s="19">
        <f t="shared" ref="T463:T525" si="83">F463-R463</f>
        <v>9384</v>
      </c>
      <c r="U463" s="22" t="s">
        <v>30</v>
      </c>
    </row>
    <row r="464" spans="1:21" ht="15.75" customHeight="1">
      <c r="A464" s="21">
        <v>449</v>
      </c>
      <c r="B464" s="21" t="s">
        <v>555</v>
      </c>
      <c r="C464" s="21" t="s">
        <v>88</v>
      </c>
      <c r="D464" s="21" t="s">
        <v>61</v>
      </c>
      <c r="E464" s="22" t="s">
        <v>29</v>
      </c>
      <c r="F464" s="19">
        <v>10000</v>
      </c>
      <c r="G464" s="20">
        <v>0</v>
      </c>
      <c r="H464" s="20">
        <v>25</v>
      </c>
      <c r="I464" s="20">
        <v>0</v>
      </c>
      <c r="J464" s="20">
        <v>0</v>
      </c>
      <c r="K464" s="20">
        <f t="shared" si="78"/>
        <v>287</v>
      </c>
      <c r="L464" s="20">
        <f t="shared" si="79"/>
        <v>709.99999999999989</v>
      </c>
      <c r="M464" s="20">
        <v>130</v>
      </c>
      <c r="N464" s="20">
        <v>304</v>
      </c>
      <c r="O464" s="20">
        <v>709</v>
      </c>
      <c r="P464" s="20">
        <v>0</v>
      </c>
      <c r="Q464" s="19">
        <f t="shared" si="80"/>
        <v>591</v>
      </c>
      <c r="R464" s="19">
        <f t="shared" si="81"/>
        <v>616</v>
      </c>
      <c r="S464" s="19">
        <f t="shared" si="82"/>
        <v>1549</v>
      </c>
      <c r="T464" s="19">
        <f t="shared" si="83"/>
        <v>9384</v>
      </c>
      <c r="U464" s="22" t="s">
        <v>30</v>
      </c>
    </row>
    <row r="465" spans="1:21" ht="15.75" customHeight="1">
      <c r="A465" s="21">
        <v>450</v>
      </c>
      <c r="B465" s="21" t="s">
        <v>556</v>
      </c>
      <c r="C465" s="21" t="s">
        <v>88</v>
      </c>
      <c r="D465" s="21" t="s">
        <v>61</v>
      </c>
      <c r="E465" s="22" t="s">
        <v>302</v>
      </c>
      <c r="F465" s="19">
        <v>10000</v>
      </c>
      <c r="G465" s="20">
        <v>0</v>
      </c>
      <c r="H465" s="20">
        <v>25</v>
      </c>
      <c r="I465" s="20">
        <v>0</v>
      </c>
      <c r="J465" s="20">
        <v>0</v>
      </c>
      <c r="K465" s="20">
        <f t="shared" si="78"/>
        <v>287</v>
      </c>
      <c r="L465" s="20">
        <f t="shared" si="79"/>
        <v>709.99999999999989</v>
      </c>
      <c r="M465" s="20">
        <v>130</v>
      </c>
      <c r="N465" s="20">
        <v>304</v>
      </c>
      <c r="O465" s="20">
        <v>709</v>
      </c>
      <c r="P465" s="20">
        <v>0</v>
      </c>
      <c r="Q465" s="19">
        <f t="shared" si="80"/>
        <v>591</v>
      </c>
      <c r="R465" s="19">
        <f t="shared" si="81"/>
        <v>616</v>
      </c>
      <c r="S465" s="19">
        <f t="shared" si="82"/>
        <v>1549</v>
      </c>
      <c r="T465" s="19">
        <f t="shared" si="83"/>
        <v>9384</v>
      </c>
      <c r="U465" s="22" t="s">
        <v>30</v>
      </c>
    </row>
    <row r="466" spans="1:21" ht="15.75" customHeight="1">
      <c r="A466" s="17">
        <v>451</v>
      </c>
      <c r="B466" s="21" t="s">
        <v>557</v>
      </c>
      <c r="C466" s="21" t="s">
        <v>51</v>
      </c>
      <c r="D466" s="21" t="s">
        <v>52</v>
      </c>
      <c r="E466" s="22" t="s">
        <v>29</v>
      </c>
      <c r="F466" s="19">
        <v>10000</v>
      </c>
      <c r="G466" s="20">
        <v>0</v>
      </c>
      <c r="H466" s="20">
        <v>25</v>
      </c>
      <c r="I466" s="20">
        <v>0</v>
      </c>
      <c r="J466" s="20">
        <v>0</v>
      </c>
      <c r="K466" s="20">
        <f t="shared" si="78"/>
        <v>287</v>
      </c>
      <c r="L466" s="20">
        <f t="shared" si="79"/>
        <v>709.99999999999989</v>
      </c>
      <c r="M466" s="20">
        <v>130</v>
      </c>
      <c r="N466" s="20">
        <v>304</v>
      </c>
      <c r="O466" s="20">
        <v>709</v>
      </c>
      <c r="P466" s="20">
        <v>0</v>
      </c>
      <c r="Q466" s="19">
        <f t="shared" si="80"/>
        <v>591</v>
      </c>
      <c r="R466" s="19">
        <f t="shared" si="81"/>
        <v>616</v>
      </c>
      <c r="S466" s="19">
        <f t="shared" si="82"/>
        <v>1549</v>
      </c>
      <c r="T466" s="19">
        <f t="shared" si="83"/>
        <v>9384</v>
      </c>
      <c r="U466" s="22" t="s">
        <v>30</v>
      </c>
    </row>
    <row r="467" spans="1:21" ht="15.75" customHeight="1">
      <c r="A467" s="21">
        <v>452</v>
      </c>
      <c r="B467" s="21" t="s">
        <v>558</v>
      </c>
      <c r="C467" s="21" t="s">
        <v>146</v>
      </c>
      <c r="D467" s="21" t="s">
        <v>98</v>
      </c>
      <c r="E467" s="22" t="s">
        <v>29</v>
      </c>
      <c r="F467" s="19">
        <v>12870</v>
      </c>
      <c r="G467" s="20">
        <v>0</v>
      </c>
      <c r="H467" s="20">
        <v>25</v>
      </c>
      <c r="I467" s="20">
        <v>954.25</v>
      </c>
      <c r="J467" s="20">
        <f>500+300+2424.07+2517</f>
        <v>5741.07</v>
      </c>
      <c r="K467" s="20">
        <f t="shared" si="78"/>
        <v>369.36899999999997</v>
      </c>
      <c r="L467" s="20">
        <f t="shared" si="79"/>
        <v>913.76999999999987</v>
      </c>
      <c r="M467" s="20">
        <v>167.31</v>
      </c>
      <c r="N467" s="20">
        <v>391.24799999999999</v>
      </c>
      <c r="O467" s="20">
        <v>912.48300000000006</v>
      </c>
      <c r="P467" s="20">
        <v>0</v>
      </c>
      <c r="Q467" s="19">
        <f t="shared" si="80"/>
        <v>760.61699999999996</v>
      </c>
      <c r="R467" s="19">
        <f t="shared" si="81"/>
        <v>7480.936999999999</v>
      </c>
      <c r="S467" s="19">
        <f t="shared" si="82"/>
        <v>1993.5630000000001</v>
      </c>
      <c r="T467" s="19">
        <f t="shared" si="83"/>
        <v>5389.063000000001</v>
      </c>
      <c r="U467" s="22" t="s">
        <v>30</v>
      </c>
    </row>
    <row r="468" spans="1:21" ht="15.75" customHeight="1">
      <c r="A468" s="21">
        <v>453</v>
      </c>
      <c r="B468" s="21" t="s">
        <v>559</v>
      </c>
      <c r="C468" s="21" t="s">
        <v>365</v>
      </c>
      <c r="D468" s="21" t="s">
        <v>58</v>
      </c>
      <c r="E468" s="22" t="s">
        <v>29</v>
      </c>
      <c r="F468" s="19">
        <v>35000</v>
      </c>
      <c r="G468" s="20">
        <v>0</v>
      </c>
      <c r="H468" s="20">
        <v>25</v>
      </c>
      <c r="I468" s="20">
        <v>0</v>
      </c>
      <c r="J468" s="20">
        <v>0</v>
      </c>
      <c r="K468" s="20">
        <f t="shared" si="78"/>
        <v>1004.5</v>
      </c>
      <c r="L468" s="20">
        <f t="shared" si="79"/>
        <v>2485</v>
      </c>
      <c r="M468" s="20">
        <v>455</v>
      </c>
      <c r="N468" s="20">
        <v>1064</v>
      </c>
      <c r="O468" s="20">
        <v>2481.5</v>
      </c>
      <c r="P468" s="20">
        <v>0</v>
      </c>
      <c r="Q468" s="19">
        <f t="shared" si="80"/>
        <v>2068.5</v>
      </c>
      <c r="R468" s="19">
        <f t="shared" si="81"/>
        <v>2093.5</v>
      </c>
      <c r="S468" s="19">
        <f t="shared" si="82"/>
        <v>5421.5</v>
      </c>
      <c r="T468" s="19">
        <f t="shared" si="83"/>
        <v>32906.5</v>
      </c>
      <c r="U468" s="22" t="s">
        <v>30</v>
      </c>
    </row>
    <row r="469" spans="1:21" ht="15.75" customHeight="1">
      <c r="A469" s="17">
        <v>454</v>
      </c>
      <c r="B469" s="21" t="s">
        <v>560</v>
      </c>
      <c r="C469" s="21" t="s">
        <v>88</v>
      </c>
      <c r="D469" s="21" t="s">
        <v>61</v>
      </c>
      <c r="E469" s="22" t="s">
        <v>29</v>
      </c>
      <c r="F469" s="19">
        <v>18000</v>
      </c>
      <c r="G469" s="20">
        <v>0</v>
      </c>
      <c r="H469" s="20">
        <v>25</v>
      </c>
      <c r="I469" s="20">
        <v>0</v>
      </c>
      <c r="J469" s="20">
        <v>0</v>
      </c>
      <c r="K469" s="20">
        <f t="shared" si="78"/>
        <v>516.6</v>
      </c>
      <c r="L469" s="20">
        <f t="shared" si="79"/>
        <v>1277.9999999999998</v>
      </c>
      <c r="M469" s="20">
        <v>234</v>
      </c>
      <c r="N469" s="20">
        <v>547.20000000000005</v>
      </c>
      <c r="O469" s="20">
        <v>1276.2</v>
      </c>
      <c r="P469" s="20">
        <v>0</v>
      </c>
      <c r="Q469" s="19">
        <f t="shared" si="80"/>
        <v>1063.8000000000002</v>
      </c>
      <c r="R469" s="19">
        <f t="shared" si="81"/>
        <v>1088.8000000000002</v>
      </c>
      <c r="S469" s="19">
        <f t="shared" si="82"/>
        <v>2788.2</v>
      </c>
      <c r="T469" s="19">
        <f t="shared" si="83"/>
        <v>16911.2</v>
      </c>
      <c r="U469" s="22" t="s">
        <v>30</v>
      </c>
    </row>
    <row r="470" spans="1:21" ht="15.75" customHeight="1">
      <c r="A470" s="21">
        <v>455</v>
      </c>
      <c r="B470" s="21" t="s">
        <v>561</v>
      </c>
      <c r="C470" s="21" t="s">
        <v>57</v>
      </c>
      <c r="D470" s="21" t="s">
        <v>58</v>
      </c>
      <c r="E470" s="22" t="s">
        <v>29</v>
      </c>
      <c r="F470" s="19">
        <v>15000</v>
      </c>
      <c r="G470" s="20">
        <v>0</v>
      </c>
      <c r="H470" s="20">
        <v>25</v>
      </c>
      <c r="I470" s="20">
        <v>0</v>
      </c>
      <c r="J470" s="20">
        <v>0</v>
      </c>
      <c r="K470" s="20">
        <f t="shared" si="78"/>
        <v>430.5</v>
      </c>
      <c r="L470" s="20">
        <f t="shared" si="79"/>
        <v>1065</v>
      </c>
      <c r="M470" s="20">
        <v>195</v>
      </c>
      <c r="N470" s="20">
        <v>456</v>
      </c>
      <c r="O470" s="20">
        <v>1063.5</v>
      </c>
      <c r="P470" s="20">
        <v>0</v>
      </c>
      <c r="Q470" s="19">
        <f t="shared" si="80"/>
        <v>886.5</v>
      </c>
      <c r="R470" s="19">
        <f t="shared" si="81"/>
        <v>911.5</v>
      </c>
      <c r="S470" s="19">
        <f t="shared" si="82"/>
        <v>2323.5</v>
      </c>
      <c r="T470" s="19">
        <f t="shared" si="83"/>
        <v>14088.5</v>
      </c>
      <c r="U470" s="22" t="s">
        <v>30</v>
      </c>
    </row>
    <row r="471" spans="1:21" ht="15.75" customHeight="1">
      <c r="A471" s="21">
        <v>456</v>
      </c>
      <c r="B471" s="21" t="s">
        <v>562</v>
      </c>
      <c r="C471" s="21" t="s">
        <v>355</v>
      </c>
      <c r="D471" s="21" t="s">
        <v>78</v>
      </c>
      <c r="E471" s="22" t="s">
        <v>29</v>
      </c>
      <c r="F471" s="19">
        <v>10000</v>
      </c>
      <c r="G471" s="20">
        <v>0</v>
      </c>
      <c r="H471" s="20">
        <v>25</v>
      </c>
      <c r="I471" s="20">
        <v>0</v>
      </c>
      <c r="J471" s="20">
        <v>0</v>
      </c>
      <c r="K471" s="20">
        <f t="shared" si="78"/>
        <v>287</v>
      </c>
      <c r="L471" s="20">
        <f t="shared" si="79"/>
        <v>709.99999999999989</v>
      </c>
      <c r="M471" s="20">
        <v>130</v>
      </c>
      <c r="N471" s="20">
        <v>304</v>
      </c>
      <c r="O471" s="20">
        <v>709</v>
      </c>
      <c r="P471" s="20">
        <v>0</v>
      </c>
      <c r="Q471" s="19">
        <f t="shared" si="80"/>
        <v>591</v>
      </c>
      <c r="R471" s="19">
        <f t="shared" si="81"/>
        <v>616</v>
      </c>
      <c r="S471" s="19">
        <f t="shared" si="82"/>
        <v>1549</v>
      </c>
      <c r="T471" s="19">
        <f t="shared" si="83"/>
        <v>9384</v>
      </c>
      <c r="U471" s="22" t="s">
        <v>30</v>
      </c>
    </row>
    <row r="472" spans="1:21" ht="15.75" customHeight="1">
      <c r="A472" s="17">
        <v>457</v>
      </c>
      <c r="B472" s="21" t="s">
        <v>563</v>
      </c>
      <c r="C472" s="21" t="s">
        <v>77</v>
      </c>
      <c r="D472" s="21" t="s">
        <v>61</v>
      </c>
      <c r="E472" s="22" t="s">
        <v>29</v>
      </c>
      <c r="F472" s="19">
        <v>15000</v>
      </c>
      <c r="G472" s="20">
        <v>0</v>
      </c>
      <c r="H472" s="20">
        <v>25</v>
      </c>
      <c r="I472" s="20">
        <v>0</v>
      </c>
      <c r="J472" s="20">
        <v>0</v>
      </c>
      <c r="K472" s="20">
        <f t="shared" si="78"/>
        <v>430.5</v>
      </c>
      <c r="L472" s="20">
        <f t="shared" si="79"/>
        <v>1065</v>
      </c>
      <c r="M472" s="20">
        <v>195</v>
      </c>
      <c r="N472" s="20">
        <v>456</v>
      </c>
      <c r="O472" s="20">
        <v>1063.5</v>
      </c>
      <c r="P472" s="20">
        <v>0</v>
      </c>
      <c r="Q472" s="19">
        <f t="shared" si="80"/>
        <v>886.5</v>
      </c>
      <c r="R472" s="19">
        <f t="shared" si="81"/>
        <v>911.5</v>
      </c>
      <c r="S472" s="19">
        <f t="shared" si="82"/>
        <v>2323.5</v>
      </c>
      <c r="T472" s="19">
        <f t="shared" si="83"/>
        <v>14088.5</v>
      </c>
      <c r="U472" s="22" t="s">
        <v>30</v>
      </c>
    </row>
    <row r="473" spans="1:21" ht="15.75" customHeight="1">
      <c r="A473" s="21">
        <v>458</v>
      </c>
      <c r="B473" s="21" t="s">
        <v>564</v>
      </c>
      <c r="C473" s="21" t="s">
        <v>66</v>
      </c>
      <c r="D473" s="21" t="s">
        <v>61</v>
      </c>
      <c r="E473" s="22" t="s">
        <v>29</v>
      </c>
      <c r="F473" s="19">
        <v>25000</v>
      </c>
      <c r="G473" s="20">
        <v>0</v>
      </c>
      <c r="H473" s="20">
        <v>25</v>
      </c>
      <c r="I473" s="20">
        <v>0</v>
      </c>
      <c r="J473" s="20">
        <v>0</v>
      </c>
      <c r="K473" s="20">
        <f t="shared" si="78"/>
        <v>717.5</v>
      </c>
      <c r="L473" s="20">
        <f t="shared" si="79"/>
        <v>1774.9999999999998</v>
      </c>
      <c r="M473" s="20">
        <v>325</v>
      </c>
      <c r="N473" s="20">
        <v>760</v>
      </c>
      <c r="O473" s="20">
        <v>1772.5000000000002</v>
      </c>
      <c r="P473" s="20">
        <v>0</v>
      </c>
      <c r="Q473" s="19">
        <f t="shared" si="80"/>
        <v>1477.5</v>
      </c>
      <c r="R473" s="19">
        <f t="shared" si="81"/>
        <v>1502.5</v>
      </c>
      <c r="S473" s="19">
        <f t="shared" si="82"/>
        <v>3872.5</v>
      </c>
      <c r="T473" s="19">
        <f t="shared" si="83"/>
        <v>23497.5</v>
      </c>
      <c r="U473" s="22" t="s">
        <v>30</v>
      </c>
    </row>
    <row r="474" spans="1:21" ht="15.75" customHeight="1">
      <c r="A474" s="21">
        <v>459</v>
      </c>
      <c r="B474" s="21" t="s">
        <v>565</v>
      </c>
      <c r="C474" s="21" t="s">
        <v>88</v>
      </c>
      <c r="D474" s="21" t="s">
        <v>466</v>
      </c>
      <c r="E474" s="22" t="s">
        <v>29</v>
      </c>
      <c r="F474" s="19">
        <v>10000</v>
      </c>
      <c r="G474" s="20">
        <v>0</v>
      </c>
      <c r="H474" s="20">
        <v>25</v>
      </c>
      <c r="I474" s="20">
        <v>0</v>
      </c>
      <c r="J474" s="20">
        <v>0</v>
      </c>
      <c r="K474" s="20">
        <f t="shared" si="78"/>
        <v>287</v>
      </c>
      <c r="L474" s="20">
        <f t="shared" si="79"/>
        <v>709.99999999999989</v>
      </c>
      <c r="M474" s="20">
        <v>130</v>
      </c>
      <c r="N474" s="20">
        <v>304</v>
      </c>
      <c r="O474" s="20">
        <v>709</v>
      </c>
      <c r="P474" s="20">
        <v>0</v>
      </c>
      <c r="Q474" s="19">
        <f t="shared" si="80"/>
        <v>591</v>
      </c>
      <c r="R474" s="19">
        <f t="shared" si="81"/>
        <v>616</v>
      </c>
      <c r="S474" s="19">
        <f t="shared" si="82"/>
        <v>1549</v>
      </c>
      <c r="T474" s="19">
        <f t="shared" si="83"/>
        <v>9384</v>
      </c>
      <c r="U474" s="22" t="s">
        <v>30</v>
      </c>
    </row>
    <row r="475" spans="1:21" ht="15.75" customHeight="1">
      <c r="A475" s="17">
        <v>460</v>
      </c>
      <c r="B475" s="21" t="s">
        <v>566</v>
      </c>
      <c r="C475" s="21" t="s">
        <v>567</v>
      </c>
      <c r="D475" s="21" t="s">
        <v>568</v>
      </c>
      <c r="E475" s="22" t="s">
        <v>29</v>
      </c>
      <c r="F475" s="19">
        <v>60000</v>
      </c>
      <c r="G475" s="20">
        <v>3486.68</v>
      </c>
      <c r="H475" s="20">
        <v>25</v>
      </c>
      <c r="I475" s="20">
        <v>0</v>
      </c>
      <c r="J475" s="20">
        <v>0</v>
      </c>
      <c r="K475" s="20">
        <f t="shared" si="78"/>
        <v>1722</v>
      </c>
      <c r="L475" s="20">
        <f t="shared" si="79"/>
        <v>4260</v>
      </c>
      <c r="M475" s="20">
        <v>780</v>
      </c>
      <c r="N475" s="20">
        <v>1824</v>
      </c>
      <c r="O475" s="20">
        <v>4254</v>
      </c>
      <c r="P475" s="20">
        <v>0</v>
      </c>
      <c r="Q475" s="19">
        <f t="shared" si="80"/>
        <v>3546</v>
      </c>
      <c r="R475" s="19">
        <f t="shared" si="81"/>
        <v>7057.68</v>
      </c>
      <c r="S475" s="19">
        <f t="shared" si="82"/>
        <v>9294</v>
      </c>
      <c r="T475" s="19">
        <f t="shared" si="83"/>
        <v>52942.32</v>
      </c>
      <c r="U475" s="22" t="s">
        <v>30</v>
      </c>
    </row>
    <row r="476" spans="1:21" ht="15.75" customHeight="1">
      <c r="A476" s="21">
        <v>461</v>
      </c>
      <c r="B476" s="21" t="s">
        <v>569</v>
      </c>
      <c r="C476" s="21" t="s">
        <v>63</v>
      </c>
      <c r="D476" s="21" t="s">
        <v>98</v>
      </c>
      <c r="E476" s="22" t="s">
        <v>29</v>
      </c>
      <c r="F476" s="19">
        <v>15000</v>
      </c>
      <c r="G476" s="20">
        <v>0</v>
      </c>
      <c r="H476" s="20">
        <v>25</v>
      </c>
      <c r="I476" s="20">
        <v>0</v>
      </c>
      <c r="J476" s="20">
        <f>500+500</f>
        <v>1000</v>
      </c>
      <c r="K476" s="20">
        <f t="shared" si="78"/>
        <v>430.5</v>
      </c>
      <c r="L476" s="20">
        <f t="shared" si="79"/>
        <v>1065</v>
      </c>
      <c r="M476" s="20">
        <v>195</v>
      </c>
      <c r="N476" s="20">
        <v>456</v>
      </c>
      <c r="O476" s="20">
        <v>1063.5</v>
      </c>
      <c r="P476" s="20">
        <v>0</v>
      </c>
      <c r="Q476" s="19">
        <f t="shared" si="80"/>
        <v>886.5</v>
      </c>
      <c r="R476" s="19">
        <f t="shared" si="81"/>
        <v>1911.5</v>
      </c>
      <c r="S476" s="19">
        <f t="shared" si="82"/>
        <v>2323.5</v>
      </c>
      <c r="T476" s="19">
        <f t="shared" si="83"/>
        <v>13088.5</v>
      </c>
      <c r="U476" s="22" t="s">
        <v>30</v>
      </c>
    </row>
    <row r="477" spans="1:21" ht="15.75" customHeight="1">
      <c r="A477" s="21">
        <v>462</v>
      </c>
      <c r="B477" s="21" t="s">
        <v>570</v>
      </c>
      <c r="C477" s="21" t="s">
        <v>88</v>
      </c>
      <c r="D477" s="21" t="s">
        <v>61</v>
      </c>
      <c r="E477" s="22" t="s">
        <v>29</v>
      </c>
      <c r="F477" s="19">
        <v>10000</v>
      </c>
      <c r="G477" s="20">
        <v>0</v>
      </c>
      <c r="H477" s="20">
        <v>125</v>
      </c>
      <c r="I477" s="20">
        <v>0</v>
      </c>
      <c r="J477" s="20">
        <v>0</v>
      </c>
      <c r="K477" s="20">
        <f t="shared" si="78"/>
        <v>287</v>
      </c>
      <c r="L477" s="20">
        <f t="shared" si="79"/>
        <v>709.99999999999989</v>
      </c>
      <c r="M477" s="20">
        <v>130</v>
      </c>
      <c r="N477" s="20">
        <v>304</v>
      </c>
      <c r="O477" s="20">
        <v>709</v>
      </c>
      <c r="P477" s="20">
        <v>0</v>
      </c>
      <c r="Q477" s="19">
        <f t="shared" si="80"/>
        <v>591</v>
      </c>
      <c r="R477" s="19">
        <f t="shared" si="81"/>
        <v>716</v>
      </c>
      <c r="S477" s="19">
        <f t="shared" si="82"/>
        <v>1549</v>
      </c>
      <c r="T477" s="19">
        <f t="shared" si="83"/>
        <v>9284</v>
      </c>
      <c r="U477" s="22" t="s">
        <v>30</v>
      </c>
    </row>
    <row r="478" spans="1:21" ht="15.75" customHeight="1">
      <c r="A478" s="17">
        <v>463</v>
      </c>
      <c r="B478" s="21" t="s">
        <v>571</v>
      </c>
      <c r="C478" s="21" t="s">
        <v>196</v>
      </c>
      <c r="D478" s="21" t="s">
        <v>72</v>
      </c>
      <c r="E478" s="22" t="s">
        <v>29</v>
      </c>
      <c r="F478" s="19">
        <v>20000</v>
      </c>
      <c r="G478" s="20">
        <v>0</v>
      </c>
      <c r="H478" s="20">
        <v>25</v>
      </c>
      <c r="I478" s="20">
        <v>0</v>
      </c>
      <c r="J478" s="20">
        <v>0</v>
      </c>
      <c r="K478" s="20">
        <f t="shared" si="78"/>
        <v>574</v>
      </c>
      <c r="L478" s="20">
        <f t="shared" si="79"/>
        <v>1419.9999999999998</v>
      </c>
      <c r="M478" s="20">
        <v>260</v>
      </c>
      <c r="N478" s="20">
        <v>608</v>
      </c>
      <c r="O478" s="20">
        <v>1418</v>
      </c>
      <c r="P478" s="20">
        <v>0</v>
      </c>
      <c r="Q478" s="19">
        <f t="shared" si="80"/>
        <v>1182</v>
      </c>
      <c r="R478" s="19">
        <f t="shared" si="81"/>
        <v>1207</v>
      </c>
      <c r="S478" s="19">
        <f t="shared" si="82"/>
        <v>3098</v>
      </c>
      <c r="T478" s="19">
        <f t="shared" si="83"/>
        <v>18793</v>
      </c>
      <c r="U478" s="22" t="s">
        <v>30</v>
      </c>
    </row>
    <row r="479" spans="1:21" ht="15.75" customHeight="1">
      <c r="A479" s="21">
        <v>464</v>
      </c>
      <c r="B479" s="21" t="s">
        <v>572</v>
      </c>
      <c r="C479" s="21" t="s">
        <v>71</v>
      </c>
      <c r="D479" s="21" t="s">
        <v>72</v>
      </c>
      <c r="E479" s="22" t="s">
        <v>29</v>
      </c>
      <c r="F479" s="19">
        <v>15000</v>
      </c>
      <c r="G479" s="20">
        <v>0</v>
      </c>
      <c r="H479" s="20">
        <v>25</v>
      </c>
      <c r="I479" s="20">
        <v>0</v>
      </c>
      <c r="J479" s="20">
        <f>1000+300+1072.19</f>
        <v>2372.19</v>
      </c>
      <c r="K479" s="20">
        <f t="shared" si="78"/>
        <v>430.5</v>
      </c>
      <c r="L479" s="20">
        <f t="shared" si="79"/>
        <v>1065</v>
      </c>
      <c r="M479" s="20">
        <v>195</v>
      </c>
      <c r="N479" s="20">
        <v>456</v>
      </c>
      <c r="O479" s="20">
        <v>1063.5</v>
      </c>
      <c r="P479" s="20">
        <v>0</v>
      </c>
      <c r="Q479" s="19">
        <f t="shared" si="80"/>
        <v>886.5</v>
      </c>
      <c r="R479" s="19">
        <f t="shared" si="81"/>
        <v>3283.69</v>
      </c>
      <c r="S479" s="19">
        <f t="shared" si="82"/>
        <v>2323.5</v>
      </c>
      <c r="T479" s="19">
        <f t="shared" si="83"/>
        <v>11716.31</v>
      </c>
      <c r="U479" s="22" t="s">
        <v>36</v>
      </c>
    </row>
    <row r="480" spans="1:21" ht="15.75" customHeight="1">
      <c r="A480" s="21">
        <v>465</v>
      </c>
      <c r="B480" s="21" t="s">
        <v>573</v>
      </c>
      <c r="C480" s="21" t="s">
        <v>322</v>
      </c>
      <c r="D480" s="21" t="s">
        <v>78</v>
      </c>
      <c r="E480" s="22" t="s">
        <v>29</v>
      </c>
      <c r="F480" s="19">
        <v>25000</v>
      </c>
      <c r="G480" s="20">
        <v>0</v>
      </c>
      <c r="H480" s="20">
        <v>25</v>
      </c>
      <c r="I480" s="20">
        <v>0</v>
      </c>
      <c r="J480" s="20">
        <f>1000+2145.39</f>
        <v>3145.39</v>
      </c>
      <c r="K480" s="20">
        <f t="shared" si="78"/>
        <v>717.5</v>
      </c>
      <c r="L480" s="20">
        <f t="shared" si="79"/>
        <v>1774.9999999999998</v>
      </c>
      <c r="M480" s="20">
        <v>325</v>
      </c>
      <c r="N480" s="20">
        <v>760</v>
      </c>
      <c r="O480" s="20">
        <v>1772.5000000000002</v>
      </c>
      <c r="P480" s="20">
        <v>0</v>
      </c>
      <c r="Q480" s="19">
        <f t="shared" si="80"/>
        <v>1477.5</v>
      </c>
      <c r="R480" s="19">
        <f t="shared" si="81"/>
        <v>4647.8899999999994</v>
      </c>
      <c r="S480" s="19">
        <f t="shared" si="82"/>
        <v>3872.5</v>
      </c>
      <c r="T480" s="19">
        <f t="shared" si="83"/>
        <v>20352.11</v>
      </c>
      <c r="U480" s="22" t="s">
        <v>36</v>
      </c>
    </row>
    <row r="481" spans="1:21" ht="15.75" customHeight="1">
      <c r="A481" s="17">
        <v>466</v>
      </c>
      <c r="B481" s="21" t="s">
        <v>574</v>
      </c>
      <c r="C481" s="21" t="s">
        <v>68</v>
      </c>
      <c r="D481" s="21" t="s">
        <v>86</v>
      </c>
      <c r="E481" s="22" t="s">
        <v>29</v>
      </c>
      <c r="F481" s="19">
        <v>25000</v>
      </c>
      <c r="G481" s="20">
        <v>0</v>
      </c>
      <c r="H481" s="20">
        <v>25</v>
      </c>
      <c r="I481" s="20">
        <v>0</v>
      </c>
      <c r="J481" s="20">
        <v>0</v>
      </c>
      <c r="K481" s="20">
        <f t="shared" si="78"/>
        <v>717.5</v>
      </c>
      <c r="L481" s="20">
        <f t="shared" si="79"/>
        <v>1774.9999999999998</v>
      </c>
      <c r="M481" s="20">
        <v>325</v>
      </c>
      <c r="N481" s="20">
        <v>760</v>
      </c>
      <c r="O481" s="20">
        <v>1772.5000000000002</v>
      </c>
      <c r="P481" s="19">
        <v>1587.38</v>
      </c>
      <c r="Q481" s="19">
        <f t="shared" si="80"/>
        <v>1477.5</v>
      </c>
      <c r="R481" s="19">
        <f t="shared" si="81"/>
        <v>3089.88</v>
      </c>
      <c r="S481" s="19">
        <f t="shared" si="82"/>
        <v>3872.5</v>
      </c>
      <c r="T481" s="19">
        <f t="shared" si="83"/>
        <v>21910.12</v>
      </c>
      <c r="U481" s="22" t="s">
        <v>36</v>
      </c>
    </row>
    <row r="482" spans="1:21" ht="15.75" customHeight="1">
      <c r="A482" s="21">
        <v>467</v>
      </c>
      <c r="B482" s="21" t="s">
        <v>575</v>
      </c>
      <c r="C482" s="21" t="s">
        <v>60</v>
      </c>
      <c r="D482" s="21" t="s">
        <v>61</v>
      </c>
      <c r="E482" s="22" t="s">
        <v>29</v>
      </c>
      <c r="F482" s="19">
        <v>22000</v>
      </c>
      <c r="G482" s="20">
        <v>0</v>
      </c>
      <c r="H482" s="20">
        <v>25</v>
      </c>
      <c r="I482" s="20">
        <v>0</v>
      </c>
      <c r="J482" s="20">
        <v>0</v>
      </c>
      <c r="K482" s="20">
        <f t="shared" si="78"/>
        <v>631.4</v>
      </c>
      <c r="L482" s="20">
        <f t="shared" si="79"/>
        <v>1561.9999999999998</v>
      </c>
      <c r="M482" s="20">
        <v>286</v>
      </c>
      <c r="N482" s="20">
        <v>668.8</v>
      </c>
      <c r="O482" s="20">
        <v>1559.8000000000002</v>
      </c>
      <c r="P482" s="20">
        <v>0</v>
      </c>
      <c r="Q482" s="19">
        <f t="shared" si="80"/>
        <v>1300.1999999999998</v>
      </c>
      <c r="R482" s="19">
        <f t="shared" si="81"/>
        <v>1325.1999999999998</v>
      </c>
      <c r="S482" s="19">
        <f t="shared" si="82"/>
        <v>3407.8</v>
      </c>
      <c r="T482" s="19">
        <f t="shared" si="83"/>
        <v>20674.8</v>
      </c>
      <c r="U482" s="22" t="s">
        <v>30</v>
      </c>
    </row>
    <row r="483" spans="1:21" ht="15.75" customHeight="1">
      <c r="A483" s="21">
        <v>468</v>
      </c>
      <c r="B483" s="21" t="s">
        <v>576</v>
      </c>
      <c r="C483" s="21" t="s">
        <v>355</v>
      </c>
      <c r="D483" s="21" t="s">
        <v>78</v>
      </c>
      <c r="E483" s="22" t="s">
        <v>29</v>
      </c>
      <c r="F483" s="19">
        <v>26000</v>
      </c>
      <c r="G483" s="20">
        <v>0</v>
      </c>
      <c r="H483" s="20">
        <v>25</v>
      </c>
      <c r="I483" s="20">
        <v>0</v>
      </c>
      <c r="J483" s="20">
        <v>0</v>
      </c>
      <c r="K483" s="20">
        <f t="shared" si="78"/>
        <v>746.2</v>
      </c>
      <c r="L483" s="20">
        <f t="shared" si="79"/>
        <v>1845.9999999999998</v>
      </c>
      <c r="M483" s="20">
        <v>338</v>
      </c>
      <c r="N483" s="20">
        <v>790.4</v>
      </c>
      <c r="O483" s="20">
        <v>1843.4</v>
      </c>
      <c r="P483" s="20">
        <v>0</v>
      </c>
      <c r="Q483" s="19">
        <f t="shared" si="80"/>
        <v>1536.6</v>
      </c>
      <c r="R483" s="19">
        <f t="shared" si="81"/>
        <v>1561.6</v>
      </c>
      <c r="S483" s="19">
        <f t="shared" si="82"/>
        <v>4027.4</v>
      </c>
      <c r="T483" s="19">
        <f t="shared" si="83"/>
        <v>24438.400000000001</v>
      </c>
      <c r="U483" s="22" t="s">
        <v>30</v>
      </c>
    </row>
    <row r="484" spans="1:21" ht="15.75" customHeight="1">
      <c r="A484" s="17">
        <v>469</v>
      </c>
      <c r="B484" s="21" t="s">
        <v>577</v>
      </c>
      <c r="C484" s="21" t="s">
        <v>66</v>
      </c>
      <c r="D484" s="21" t="s">
        <v>61</v>
      </c>
      <c r="E484" s="22" t="s">
        <v>29</v>
      </c>
      <c r="F484" s="19">
        <v>30000</v>
      </c>
      <c r="G484" s="20">
        <v>0</v>
      </c>
      <c r="H484" s="20">
        <v>25</v>
      </c>
      <c r="I484" s="20">
        <v>0</v>
      </c>
      <c r="J484" s="20">
        <v>0</v>
      </c>
      <c r="K484" s="20">
        <f t="shared" si="78"/>
        <v>861</v>
      </c>
      <c r="L484" s="20">
        <f t="shared" si="79"/>
        <v>2130</v>
      </c>
      <c r="M484" s="20">
        <v>390</v>
      </c>
      <c r="N484" s="20">
        <v>912</v>
      </c>
      <c r="O484" s="20">
        <v>2127</v>
      </c>
      <c r="P484" s="20">
        <v>0</v>
      </c>
      <c r="Q484" s="19">
        <f t="shared" si="80"/>
        <v>1773</v>
      </c>
      <c r="R484" s="19">
        <f t="shared" si="81"/>
        <v>1798</v>
      </c>
      <c r="S484" s="19">
        <f t="shared" si="82"/>
        <v>4647</v>
      </c>
      <c r="T484" s="19">
        <f t="shared" si="83"/>
        <v>28202</v>
      </c>
      <c r="U484" s="22" t="s">
        <v>30</v>
      </c>
    </row>
    <row r="485" spans="1:21" ht="15.75" customHeight="1">
      <c r="A485" s="21">
        <v>470</v>
      </c>
      <c r="B485" s="21" t="s">
        <v>578</v>
      </c>
      <c r="C485" s="21" t="s">
        <v>71</v>
      </c>
      <c r="D485" s="21" t="s">
        <v>72</v>
      </c>
      <c r="E485" s="22" t="s">
        <v>29</v>
      </c>
      <c r="F485" s="19">
        <v>10000</v>
      </c>
      <c r="G485" s="20">
        <v>0</v>
      </c>
      <c r="H485" s="20">
        <v>25</v>
      </c>
      <c r="I485" s="20">
        <v>0</v>
      </c>
      <c r="J485" s="20">
        <v>0</v>
      </c>
      <c r="K485" s="20">
        <f t="shared" si="78"/>
        <v>287</v>
      </c>
      <c r="L485" s="20">
        <f t="shared" si="79"/>
        <v>709.99999999999989</v>
      </c>
      <c r="M485" s="20">
        <v>130</v>
      </c>
      <c r="N485" s="20">
        <v>304</v>
      </c>
      <c r="O485" s="20">
        <v>709</v>
      </c>
      <c r="P485" s="20">
        <v>0</v>
      </c>
      <c r="Q485" s="19">
        <f t="shared" si="80"/>
        <v>591</v>
      </c>
      <c r="R485" s="19">
        <f t="shared" si="81"/>
        <v>616</v>
      </c>
      <c r="S485" s="19">
        <f t="shared" si="82"/>
        <v>1549</v>
      </c>
      <c r="T485" s="19">
        <f t="shared" si="83"/>
        <v>9384</v>
      </c>
      <c r="U485" s="22" t="s">
        <v>36</v>
      </c>
    </row>
    <row r="486" spans="1:21" ht="15.75" customHeight="1">
      <c r="A486" s="21">
        <v>471</v>
      </c>
      <c r="B486" s="21" t="s">
        <v>579</v>
      </c>
      <c r="C486" s="21" t="s">
        <v>151</v>
      </c>
      <c r="D486" s="21" t="s">
        <v>55</v>
      </c>
      <c r="E486" s="22" t="s">
        <v>29</v>
      </c>
      <c r="F486" s="19">
        <v>25000</v>
      </c>
      <c r="G486" s="20">
        <v>0</v>
      </c>
      <c r="H486" s="20">
        <v>25</v>
      </c>
      <c r="I486" s="20">
        <v>0</v>
      </c>
      <c r="J486" s="20">
        <v>0</v>
      </c>
      <c r="K486" s="20">
        <f t="shared" si="78"/>
        <v>717.5</v>
      </c>
      <c r="L486" s="20">
        <f t="shared" si="79"/>
        <v>1774.9999999999998</v>
      </c>
      <c r="M486" s="20">
        <v>325</v>
      </c>
      <c r="N486" s="20">
        <v>760</v>
      </c>
      <c r="O486" s="20">
        <v>1772.5000000000002</v>
      </c>
      <c r="P486" s="20">
        <v>0</v>
      </c>
      <c r="Q486" s="19">
        <f t="shared" si="80"/>
        <v>1477.5</v>
      </c>
      <c r="R486" s="19">
        <f t="shared" si="81"/>
        <v>1502.5</v>
      </c>
      <c r="S486" s="19">
        <f t="shared" si="82"/>
        <v>3872.5</v>
      </c>
      <c r="T486" s="19">
        <f t="shared" si="83"/>
        <v>23497.5</v>
      </c>
      <c r="U486" s="22" t="s">
        <v>36</v>
      </c>
    </row>
    <row r="487" spans="1:21" ht="15.75" customHeight="1">
      <c r="A487" s="17">
        <v>472</v>
      </c>
      <c r="B487" s="21" t="s">
        <v>580</v>
      </c>
      <c r="C487" s="21" t="s">
        <v>77</v>
      </c>
      <c r="D487" s="21" t="s">
        <v>122</v>
      </c>
      <c r="E487" s="22" t="s">
        <v>29</v>
      </c>
      <c r="F487" s="19">
        <v>12000</v>
      </c>
      <c r="G487" s="20">
        <v>0</v>
      </c>
      <c r="H487" s="20">
        <v>25</v>
      </c>
      <c r="I487" s="20">
        <v>0</v>
      </c>
      <c r="J487" s="20">
        <v>0</v>
      </c>
      <c r="K487" s="20">
        <f t="shared" si="78"/>
        <v>344.4</v>
      </c>
      <c r="L487" s="20">
        <f t="shared" si="79"/>
        <v>851.99999999999989</v>
      </c>
      <c r="M487" s="20">
        <v>156</v>
      </c>
      <c r="N487" s="20">
        <v>364.8</v>
      </c>
      <c r="O487" s="20">
        <v>850.80000000000007</v>
      </c>
      <c r="P487" s="20">
        <v>0</v>
      </c>
      <c r="Q487" s="19">
        <f t="shared" si="80"/>
        <v>709.2</v>
      </c>
      <c r="R487" s="19">
        <f t="shared" si="81"/>
        <v>734.2</v>
      </c>
      <c r="S487" s="19">
        <f t="shared" si="82"/>
        <v>1858.8</v>
      </c>
      <c r="T487" s="19">
        <f t="shared" si="83"/>
        <v>11265.8</v>
      </c>
      <c r="U487" s="22" t="s">
        <v>30</v>
      </c>
    </row>
    <row r="488" spans="1:21" ht="15.75" customHeight="1">
      <c r="A488" s="21">
        <v>473</v>
      </c>
      <c r="B488" s="21" t="s">
        <v>581</v>
      </c>
      <c r="C488" s="21" t="s">
        <v>88</v>
      </c>
      <c r="D488" s="21" t="s">
        <v>554</v>
      </c>
      <c r="E488" s="22" t="s">
        <v>29</v>
      </c>
      <c r="F488" s="19">
        <v>10000</v>
      </c>
      <c r="G488" s="20">
        <v>0</v>
      </c>
      <c r="H488" s="20">
        <v>25</v>
      </c>
      <c r="I488" s="20">
        <v>0</v>
      </c>
      <c r="J488" s="20">
        <v>0</v>
      </c>
      <c r="K488" s="20">
        <f t="shared" si="78"/>
        <v>287</v>
      </c>
      <c r="L488" s="20">
        <f t="shared" si="79"/>
        <v>709.99999999999989</v>
      </c>
      <c r="M488" s="20">
        <v>130</v>
      </c>
      <c r="N488" s="20">
        <v>304</v>
      </c>
      <c r="O488" s="20">
        <v>709</v>
      </c>
      <c r="P488" s="20">
        <v>0</v>
      </c>
      <c r="Q488" s="19">
        <f t="shared" si="80"/>
        <v>591</v>
      </c>
      <c r="R488" s="19">
        <f t="shared" si="81"/>
        <v>616</v>
      </c>
      <c r="S488" s="19">
        <f t="shared" si="82"/>
        <v>1549</v>
      </c>
      <c r="T488" s="19">
        <f t="shared" si="83"/>
        <v>9384</v>
      </c>
      <c r="U488" s="22" t="s">
        <v>30</v>
      </c>
    </row>
    <row r="489" spans="1:21" ht="15.75" customHeight="1">
      <c r="A489" s="21">
        <v>474</v>
      </c>
      <c r="B489" s="21" t="s">
        <v>582</v>
      </c>
      <c r="C489" s="21" t="s">
        <v>355</v>
      </c>
      <c r="D489" s="21" t="s">
        <v>78</v>
      </c>
      <c r="E489" s="22" t="s">
        <v>29</v>
      </c>
      <c r="F489" s="19">
        <v>10000</v>
      </c>
      <c r="G489" s="20">
        <v>0</v>
      </c>
      <c r="H489" s="20">
        <v>25</v>
      </c>
      <c r="I489" s="20">
        <v>0</v>
      </c>
      <c r="J489" s="20">
        <v>0</v>
      </c>
      <c r="K489" s="20">
        <f t="shared" si="78"/>
        <v>287</v>
      </c>
      <c r="L489" s="20">
        <f t="shared" si="79"/>
        <v>709.99999999999989</v>
      </c>
      <c r="M489" s="20">
        <v>130</v>
      </c>
      <c r="N489" s="20">
        <v>304</v>
      </c>
      <c r="O489" s="20">
        <v>709</v>
      </c>
      <c r="P489" s="20">
        <v>0</v>
      </c>
      <c r="Q489" s="19">
        <f t="shared" si="80"/>
        <v>591</v>
      </c>
      <c r="R489" s="19">
        <f t="shared" si="81"/>
        <v>616</v>
      </c>
      <c r="S489" s="19">
        <f t="shared" si="82"/>
        <v>1549</v>
      </c>
      <c r="T489" s="19">
        <f t="shared" si="83"/>
        <v>9384</v>
      </c>
      <c r="U489" s="22" t="s">
        <v>30</v>
      </c>
    </row>
    <row r="490" spans="1:21" ht="15.75" customHeight="1">
      <c r="A490" s="17">
        <v>475</v>
      </c>
      <c r="B490" s="21" t="s">
        <v>583</v>
      </c>
      <c r="C490" s="21" t="s">
        <v>196</v>
      </c>
      <c r="D490" s="21" t="s">
        <v>58</v>
      </c>
      <c r="E490" s="22" t="s">
        <v>29</v>
      </c>
      <c r="F490" s="19">
        <v>20000</v>
      </c>
      <c r="G490" s="20">
        <v>0</v>
      </c>
      <c r="H490" s="20">
        <v>25</v>
      </c>
      <c r="I490" s="20">
        <v>0</v>
      </c>
      <c r="J490" s="20">
        <v>0</v>
      </c>
      <c r="K490" s="20">
        <f t="shared" si="78"/>
        <v>574</v>
      </c>
      <c r="L490" s="20">
        <f t="shared" si="79"/>
        <v>1419.9999999999998</v>
      </c>
      <c r="M490" s="20">
        <v>260</v>
      </c>
      <c r="N490" s="20">
        <v>608</v>
      </c>
      <c r="O490" s="20">
        <v>1418</v>
      </c>
      <c r="P490" s="20">
        <v>0</v>
      </c>
      <c r="Q490" s="19">
        <f t="shared" si="80"/>
        <v>1182</v>
      </c>
      <c r="R490" s="19">
        <f t="shared" si="81"/>
        <v>1207</v>
      </c>
      <c r="S490" s="19">
        <f t="shared" si="82"/>
        <v>3098</v>
      </c>
      <c r="T490" s="19">
        <f t="shared" si="83"/>
        <v>18793</v>
      </c>
      <c r="U490" s="22" t="s">
        <v>30</v>
      </c>
    </row>
    <row r="491" spans="1:21" ht="15.75" customHeight="1">
      <c r="A491" s="21">
        <v>476</v>
      </c>
      <c r="B491" s="21" t="s">
        <v>584</v>
      </c>
      <c r="C491" s="21" t="s">
        <v>66</v>
      </c>
      <c r="D491" s="21" t="s">
        <v>72</v>
      </c>
      <c r="E491" s="22" t="s">
        <v>29</v>
      </c>
      <c r="F491" s="19">
        <v>20000</v>
      </c>
      <c r="G491" s="20">
        <v>0</v>
      </c>
      <c r="H491" s="20">
        <v>25</v>
      </c>
      <c r="I491" s="20">
        <v>0</v>
      </c>
      <c r="J491" s="20">
        <f>1000+300</f>
        <v>1300</v>
      </c>
      <c r="K491" s="20">
        <f t="shared" si="78"/>
        <v>574</v>
      </c>
      <c r="L491" s="20">
        <f t="shared" si="79"/>
        <v>1419.9999999999998</v>
      </c>
      <c r="M491" s="20">
        <v>260</v>
      </c>
      <c r="N491" s="20">
        <v>608</v>
      </c>
      <c r="O491" s="20">
        <v>1418</v>
      </c>
      <c r="P491" s="20">
        <v>2510</v>
      </c>
      <c r="Q491" s="19">
        <f t="shared" si="80"/>
        <v>1182</v>
      </c>
      <c r="R491" s="19">
        <f t="shared" si="81"/>
        <v>5017</v>
      </c>
      <c r="S491" s="19">
        <f t="shared" si="82"/>
        <v>3098</v>
      </c>
      <c r="T491" s="19">
        <f t="shared" si="83"/>
        <v>14983</v>
      </c>
      <c r="U491" s="22" t="s">
        <v>30</v>
      </c>
    </row>
    <row r="492" spans="1:21" ht="15.75" customHeight="1">
      <c r="A492" s="21">
        <v>477</v>
      </c>
      <c r="B492" s="21" t="s">
        <v>585</v>
      </c>
      <c r="C492" s="21" t="s">
        <v>283</v>
      </c>
      <c r="D492" s="21" t="s">
        <v>554</v>
      </c>
      <c r="E492" s="22" t="s">
        <v>29</v>
      </c>
      <c r="F492" s="19">
        <v>25000</v>
      </c>
      <c r="G492" s="20">
        <v>0</v>
      </c>
      <c r="H492" s="20">
        <v>25</v>
      </c>
      <c r="I492" s="20">
        <v>0</v>
      </c>
      <c r="J492" s="20">
        <v>0</v>
      </c>
      <c r="K492" s="20">
        <f t="shared" si="78"/>
        <v>717.5</v>
      </c>
      <c r="L492" s="20">
        <f t="shared" si="79"/>
        <v>1774.9999999999998</v>
      </c>
      <c r="M492" s="20">
        <v>325</v>
      </c>
      <c r="N492" s="20">
        <v>760</v>
      </c>
      <c r="O492" s="20">
        <v>1772.5000000000002</v>
      </c>
      <c r="P492" s="20">
        <v>1587.38</v>
      </c>
      <c r="Q492" s="19">
        <f t="shared" si="80"/>
        <v>1477.5</v>
      </c>
      <c r="R492" s="19">
        <f t="shared" si="81"/>
        <v>3089.88</v>
      </c>
      <c r="S492" s="19">
        <f t="shared" si="82"/>
        <v>3872.5</v>
      </c>
      <c r="T492" s="19">
        <f t="shared" si="83"/>
        <v>21910.12</v>
      </c>
      <c r="U492" s="22" t="s">
        <v>30</v>
      </c>
    </row>
    <row r="493" spans="1:21" ht="15.75" customHeight="1">
      <c r="A493" s="17">
        <v>478</v>
      </c>
      <c r="B493" s="21" t="s">
        <v>586</v>
      </c>
      <c r="C493" s="21" t="s">
        <v>51</v>
      </c>
      <c r="D493" s="21" t="s">
        <v>52</v>
      </c>
      <c r="E493" s="22" t="s">
        <v>29</v>
      </c>
      <c r="F493" s="19">
        <v>14000</v>
      </c>
      <c r="G493" s="20">
        <v>0</v>
      </c>
      <c r="H493" s="20">
        <v>25</v>
      </c>
      <c r="I493" s="20">
        <v>0</v>
      </c>
      <c r="J493" s="20">
        <v>0</v>
      </c>
      <c r="K493" s="20">
        <f t="shared" si="78"/>
        <v>401.8</v>
      </c>
      <c r="L493" s="20">
        <f t="shared" si="79"/>
        <v>993.99999999999989</v>
      </c>
      <c r="M493" s="20">
        <v>182</v>
      </c>
      <c r="N493" s="20">
        <v>425.6</v>
      </c>
      <c r="O493" s="20">
        <v>992.6</v>
      </c>
      <c r="P493" s="20">
        <v>0</v>
      </c>
      <c r="Q493" s="19">
        <f t="shared" si="80"/>
        <v>827.40000000000009</v>
      </c>
      <c r="R493" s="19">
        <f t="shared" si="81"/>
        <v>852.40000000000009</v>
      </c>
      <c r="S493" s="19">
        <f t="shared" si="82"/>
        <v>2168.6</v>
      </c>
      <c r="T493" s="19">
        <f t="shared" si="83"/>
        <v>13147.6</v>
      </c>
      <c r="U493" s="22" t="s">
        <v>30</v>
      </c>
    </row>
    <row r="494" spans="1:21" ht="15.75" customHeight="1">
      <c r="A494" s="21">
        <v>479</v>
      </c>
      <c r="B494" s="21" t="s">
        <v>587</v>
      </c>
      <c r="C494" s="21" t="s">
        <v>88</v>
      </c>
      <c r="D494" s="21" t="s">
        <v>61</v>
      </c>
      <c r="E494" s="22" t="s">
        <v>29</v>
      </c>
      <c r="F494" s="19">
        <v>15000</v>
      </c>
      <c r="G494" s="20">
        <v>0</v>
      </c>
      <c r="H494" s="20">
        <v>25</v>
      </c>
      <c r="I494" s="20">
        <v>0</v>
      </c>
      <c r="J494" s="20">
        <v>0</v>
      </c>
      <c r="K494" s="20">
        <f t="shared" si="78"/>
        <v>430.5</v>
      </c>
      <c r="L494" s="20">
        <f t="shared" si="79"/>
        <v>1065</v>
      </c>
      <c r="M494" s="20">
        <v>195</v>
      </c>
      <c r="N494" s="20">
        <v>456</v>
      </c>
      <c r="O494" s="20">
        <v>1063.5</v>
      </c>
      <c r="P494" s="20">
        <v>0</v>
      </c>
      <c r="Q494" s="19">
        <f t="shared" si="80"/>
        <v>886.5</v>
      </c>
      <c r="R494" s="19">
        <f t="shared" si="81"/>
        <v>911.5</v>
      </c>
      <c r="S494" s="19">
        <f t="shared" si="82"/>
        <v>2323.5</v>
      </c>
      <c r="T494" s="19">
        <f t="shared" si="83"/>
        <v>14088.5</v>
      </c>
      <c r="U494" s="22" t="s">
        <v>30</v>
      </c>
    </row>
    <row r="495" spans="1:21" ht="15.75" customHeight="1">
      <c r="A495" s="21">
        <v>480</v>
      </c>
      <c r="B495" s="21" t="s">
        <v>588</v>
      </c>
      <c r="C495" s="21" t="s">
        <v>71</v>
      </c>
      <c r="D495" s="21" t="s">
        <v>98</v>
      </c>
      <c r="E495" s="22" t="s">
        <v>29</v>
      </c>
      <c r="F495" s="19">
        <v>10000</v>
      </c>
      <c r="G495" s="20">
        <v>0</v>
      </c>
      <c r="H495" s="20">
        <v>25</v>
      </c>
      <c r="I495" s="20">
        <v>0</v>
      </c>
      <c r="J495" s="20">
        <f>1000+300+1212.48+1715.8</f>
        <v>4228.28</v>
      </c>
      <c r="K495" s="20">
        <f t="shared" si="78"/>
        <v>287</v>
      </c>
      <c r="L495" s="20">
        <f t="shared" si="79"/>
        <v>709.99999999999989</v>
      </c>
      <c r="M495" s="20">
        <v>130</v>
      </c>
      <c r="N495" s="20">
        <v>304</v>
      </c>
      <c r="O495" s="20">
        <v>709</v>
      </c>
      <c r="P495" s="20">
        <v>0</v>
      </c>
      <c r="Q495" s="19">
        <f t="shared" si="80"/>
        <v>591</v>
      </c>
      <c r="R495" s="19">
        <f t="shared" si="81"/>
        <v>4844.28</v>
      </c>
      <c r="S495" s="19">
        <f t="shared" si="82"/>
        <v>1549</v>
      </c>
      <c r="T495" s="19">
        <f t="shared" si="83"/>
        <v>5155.72</v>
      </c>
      <c r="U495" s="22" t="s">
        <v>30</v>
      </c>
    </row>
    <row r="496" spans="1:21" ht="15.75" customHeight="1">
      <c r="A496" s="17">
        <v>481</v>
      </c>
      <c r="B496" s="21" t="s">
        <v>589</v>
      </c>
      <c r="C496" s="21" t="s">
        <v>51</v>
      </c>
      <c r="D496" s="21" t="s">
        <v>52</v>
      </c>
      <c r="E496" s="22" t="s">
        <v>29</v>
      </c>
      <c r="F496" s="19">
        <v>10000</v>
      </c>
      <c r="G496" s="20">
        <v>0</v>
      </c>
      <c r="H496" s="20">
        <v>25</v>
      </c>
      <c r="I496" s="20">
        <v>0</v>
      </c>
      <c r="J496" s="20">
        <v>0</v>
      </c>
      <c r="K496" s="20">
        <f t="shared" si="78"/>
        <v>287</v>
      </c>
      <c r="L496" s="20">
        <f t="shared" si="79"/>
        <v>709.99999999999989</v>
      </c>
      <c r="M496" s="20">
        <v>130</v>
      </c>
      <c r="N496" s="20">
        <v>304</v>
      </c>
      <c r="O496" s="20">
        <v>709</v>
      </c>
      <c r="P496" s="20">
        <v>0</v>
      </c>
      <c r="Q496" s="19">
        <f t="shared" si="80"/>
        <v>591</v>
      </c>
      <c r="R496" s="19">
        <f t="shared" si="81"/>
        <v>616</v>
      </c>
      <c r="S496" s="19">
        <f t="shared" si="82"/>
        <v>1549</v>
      </c>
      <c r="T496" s="19">
        <f t="shared" si="83"/>
        <v>9384</v>
      </c>
      <c r="U496" s="22" t="s">
        <v>30</v>
      </c>
    </row>
    <row r="497" spans="1:21" ht="15.75" customHeight="1">
      <c r="A497" s="21">
        <v>482</v>
      </c>
      <c r="B497" s="21" t="s">
        <v>590</v>
      </c>
      <c r="C497" s="21" t="s">
        <v>355</v>
      </c>
      <c r="D497" s="21" t="s">
        <v>78</v>
      </c>
      <c r="E497" s="22" t="s">
        <v>29</v>
      </c>
      <c r="F497" s="19">
        <v>11000</v>
      </c>
      <c r="G497" s="20">
        <v>0</v>
      </c>
      <c r="H497" s="20">
        <v>25</v>
      </c>
      <c r="I497" s="20">
        <v>0</v>
      </c>
      <c r="J497" s="20">
        <v>0</v>
      </c>
      <c r="K497" s="20">
        <f t="shared" si="78"/>
        <v>315.7</v>
      </c>
      <c r="L497" s="20">
        <f t="shared" si="79"/>
        <v>780.99999999999989</v>
      </c>
      <c r="M497" s="20">
        <v>143</v>
      </c>
      <c r="N497" s="20">
        <v>334.4</v>
      </c>
      <c r="O497" s="20">
        <v>779.90000000000009</v>
      </c>
      <c r="P497" s="20">
        <v>0</v>
      </c>
      <c r="Q497" s="19">
        <f t="shared" si="80"/>
        <v>650.09999999999991</v>
      </c>
      <c r="R497" s="19">
        <f t="shared" si="81"/>
        <v>675.09999999999991</v>
      </c>
      <c r="S497" s="19">
        <f t="shared" si="82"/>
        <v>1703.9</v>
      </c>
      <c r="T497" s="19">
        <f t="shared" si="83"/>
        <v>10324.9</v>
      </c>
      <c r="U497" s="22" t="s">
        <v>30</v>
      </c>
    </row>
    <row r="498" spans="1:21" ht="15.75" customHeight="1">
      <c r="A498" s="21">
        <v>483</v>
      </c>
      <c r="B498" s="21" t="s">
        <v>591</v>
      </c>
      <c r="C498" s="21" t="s">
        <v>592</v>
      </c>
      <c r="D498" s="21" t="s">
        <v>28</v>
      </c>
      <c r="E498" s="22" t="s">
        <v>302</v>
      </c>
      <c r="F498" s="19">
        <v>30000</v>
      </c>
      <c r="G498" s="20">
        <v>0</v>
      </c>
      <c r="H498" s="20">
        <v>25</v>
      </c>
      <c r="I498" s="20">
        <v>0</v>
      </c>
      <c r="J498" s="20">
        <v>0</v>
      </c>
      <c r="K498" s="20">
        <f t="shared" si="78"/>
        <v>861</v>
      </c>
      <c r="L498" s="20">
        <f t="shared" si="79"/>
        <v>2130</v>
      </c>
      <c r="M498" s="20">
        <v>390</v>
      </c>
      <c r="N498" s="20">
        <v>912</v>
      </c>
      <c r="O498" s="20">
        <v>2127</v>
      </c>
      <c r="P498" s="20">
        <v>1587.38</v>
      </c>
      <c r="Q498" s="19">
        <f t="shared" si="80"/>
        <v>1773</v>
      </c>
      <c r="R498" s="19">
        <f t="shared" si="81"/>
        <v>3385.38</v>
      </c>
      <c r="S498" s="19">
        <f t="shared" si="82"/>
        <v>4647</v>
      </c>
      <c r="T498" s="19">
        <f t="shared" si="83"/>
        <v>26614.62</v>
      </c>
      <c r="U498" s="22" t="s">
        <v>30</v>
      </c>
    </row>
    <row r="499" spans="1:21" ht="15.75" customHeight="1">
      <c r="A499" s="17">
        <v>484</v>
      </c>
      <c r="B499" s="21" t="s">
        <v>593</v>
      </c>
      <c r="C499" s="21" t="s">
        <v>88</v>
      </c>
      <c r="D499" s="21" t="s">
        <v>61</v>
      </c>
      <c r="E499" s="22" t="s">
        <v>29</v>
      </c>
      <c r="F499" s="19">
        <v>10000</v>
      </c>
      <c r="G499" s="20">
        <v>0</v>
      </c>
      <c r="H499" s="20">
        <v>25</v>
      </c>
      <c r="I499" s="20">
        <v>0</v>
      </c>
      <c r="J499" s="20">
        <v>0</v>
      </c>
      <c r="K499" s="20">
        <f t="shared" si="78"/>
        <v>287</v>
      </c>
      <c r="L499" s="20">
        <f t="shared" si="79"/>
        <v>709.99999999999989</v>
      </c>
      <c r="M499" s="20">
        <v>130</v>
      </c>
      <c r="N499" s="20">
        <v>304</v>
      </c>
      <c r="O499" s="20">
        <v>709</v>
      </c>
      <c r="P499" s="20">
        <v>0</v>
      </c>
      <c r="Q499" s="19">
        <f t="shared" si="80"/>
        <v>591</v>
      </c>
      <c r="R499" s="19">
        <f t="shared" si="81"/>
        <v>616</v>
      </c>
      <c r="S499" s="19">
        <f t="shared" si="82"/>
        <v>1549</v>
      </c>
      <c r="T499" s="19">
        <f t="shared" si="83"/>
        <v>9384</v>
      </c>
      <c r="U499" s="22" t="s">
        <v>30</v>
      </c>
    </row>
    <row r="500" spans="1:21" ht="15.75" customHeight="1">
      <c r="A500" s="21">
        <v>485</v>
      </c>
      <c r="B500" s="21" t="s">
        <v>594</v>
      </c>
      <c r="C500" s="21" t="s">
        <v>66</v>
      </c>
      <c r="D500" s="21" t="s">
        <v>61</v>
      </c>
      <c r="E500" s="22" t="s">
        <v>29</v>
      </c>
      <c r="F500" s="19">
        <v>14000</v>
      </c>
      <c r="G500" s="20">
        <v>0</v>
      </c>
      <c r="H500" s="20">
        <v>25</v>
      </c>
      <c r="I500" s="20">
        <v>0</v>
      </c>
      <c r="J500" s="20">
        <v>0</v>
      </c>
      <c r="K500" s="20">
        <f t="shared" si="78"/>
        <v>401.8</v>
      </c>
      <c r="L500" s="20">
        <f t="shared" si="79"/>
        <v>993.99999999999989</v>
      </c>
      <c r="M500" s="20">
        <v>182</v>
      </c>
      <c r="N500" s="20">
        <v>425.6</v>
      </c>
      <c r="O500" s="20">
        <v>992.6</v>
      </c>
      <c r="P500" s="20">
        <v>0</v>
      </c>
      <c r="Q500" s="19">
        <f t="shared" si="80"/>
        <v>827.40000000000009</v>
      </c>
      <c r="R500" s="19">
        <f t="shared" si="81"/>
        <v>852.40000000000009</v>
      </c>
      <c r="S500" s="19">
        <f t="shared" si="82"/>
        <v>2168.6</v>
      </c>
      <c r="T500" s="19">
        <f t="shared" si="83"/>
        <v>13147.6</v>
      </c>
      <c r="U500" s="22" t="s">
        <v>30</v>
      </c>
    </row>
    <row r="501" spans="1:21" ht="15.75" customHeight="1">
      <c r="A501" s="21">
        <v>486</v>
      </c>
      <c r="B501" s="21" t="s">
        <v>595</v>
      </c>
      <c r="C501" s="21" t="s">
        <v>51</v>
      </c>
      <c r="D501" s="21" t="s">
        <v>52</v>
      </c>
      <c r="E501" s="22" t="s">
        <v>29</v>
      </c>
      <c r="F501" s="19">
        <v>10000</v>
      </c>
      <c r="G501" s="20">
        <v>0</v>
      </c>
      <c r="H501" s="20">
        <v>25</v>
      </c>
      <c r="I501" s="20">
        <v>0</v>
      </c>
      <c r="J501" s="20">
        <v>0</v>
      </c>
      <c r="K501" s="20">
        <f t="shared" si="78"/>
        <v>287</v>
      </c>
      <c r="L501" s="20">
        <f t="shared" si="79"/>
        <v>709.99999999999989</v>
      </c>
      <c r="M501" s="20">
        <v>130</v>
      </c>
      <c r="N501" s="20">
        <v>304</v>
      </c>
      <c r="O501" s="20">
        <v>709</v>
      </c>
      <c r="P501" s="20">
        <v>0</v>
      </c>
      <c r="Q501" s="19">
        <f t="shared" si="80"/>
        <v>591</v>
      </c>
      <c r="R501" s="19">
        <f t="shared" si="81"/>
        <v>616</v>
      </c>
      <c r="S501" s="19">
        <f t="shared" si="82"/>
        <v>1549</v>
      </c>
      <c r="T501" s="19">
        <f t="shared" si="83"/>
        <v>9384</v>
      </c>
      <c r="U501" s="22" t="s">
        <v>30</v>
      </c>
    </row>
    <row r="502" spans="1:21" ht="15.75" customHeight="1">
      <c r="A502" s="17">
        <v>487</v>
      </c>
      <c r="B502" s="21" t="s">
        <v>596</v>
      </c>
      <c r="C502" s="21" t="s">
        <v>66</v>
      </c>
      <c r="D502" s="21" t="s">
        <v>58</v>
      </c>
      <c r="E502" s="22" t="s">
        <v>29</v>
      </c>
      <c r="F502" s="19">
        <v>14000</v>
      </c>
      <c r="G502" s="20">
        <v>0</v>
      </c>
      <c r="H502" s="20">
        <v>25</v>
      </c>
      <c r="I502" s="20">
        <v>0</v>
      </c>
      <c r="J502" s="20">
        <f>300+1000+813.94</f>
        <v>2113.94</v>
      </c>
      <c r="K502" s="20">
        <f t="shared" si="78"/>
        <v>401.8</v>
      </c>
      <c r="L502" s="20">
        <f t="shared" si="79"/>
        <v>993.99999999999989</v>
      </c>
      <c r="M502" s="20">
        <v>182</v>
      </c>
      <c r="N502" s="20">
        <v>425.6</v>
      </c>
      <c r="O502" s="20">
        <v>992.6</v>
      </c>
      <c r="P502" s="20">
        <v>1587.38</v>
      </c>
      <c r="Q502" s="19">
        <f t="shared" si="80"/>
        <v>827.40000000000009</v>
      </c>
      <c r="R502" s="19">
        <f t="shared" si="81"/>
        <v>4553.72</v>
      </c>
      <c r="S502" s="19">
        <f t="shared" si="82"/>
        <v>2168.6</v>
      </c>
      <c r="T502" s="19">
        <f t="shared" si="83"/>
        <v>9446.2799999999988</v>
      </c>
      <c r="U502" s="22" t="s">
        <v>30</v>
      </c>
    </row>
    <row r="503" spans="1:21" ht="15.75" customHeight="1">
      <c r="A503" s="21">
        <v>488</v>
      </c>
      <c r="B503" s="21" t="s">
        <v>597</v>
      </c>
      <c r="C503" s="21" t="s">
        <v>190</v>
      </c>
      <c r="D503" s="21" t="s">
        <v>72</v>
      </c>
      <c r="E503" s="22" t="s">
        <v>29</v>
      </c>
      <c r="F503" s="19">
        <v>15000</v>
      </c>
      <c r="G503" s="20">
        <v>0</v>
      </c>
      <c r="H503" s="20">
        <v>25</v>
      </c>
      <c r="I503" s="20">
        <v>0</v>
      </c>
      <c r="J503" s="20">
        <f>1000+300+6407.79</f>
        <v>7707.79</v>
      </c>
      <c r="K503" s="20">
        <f t="shared" si="78"/>
        <v>430.5</v>
      </c>
      <c r="L503" s="20">
        <f t="shared" si="79"/>
        <v>1065</v>
      </c>
      <c r="M503" s="20">
        <v>195</v>
      </c>
      <c r="N503" s="20">
        <v>456</v>
      </c>
      <c r="O503" s="20">
        <v>1063.5</v>
      </c>
      <c r="P503" s="20">
        <v>0</v>
      </c>
      <c r="Q503" s="19">
        <f t="shared" si="80"/>
        <v>886.5</v>
      </c>
      <c r="R503" s="19">
        <f t="shared" si="81"/>
        <v>8619.2900000000009</v>
      </c>
      <c r="S503" s="19">
        <f t="shared" si="82"/>
        <v>2323.5</v>
      </c>
      <c r="T503" s="19">
        <f t="shared" si="83"/>
        <v>6380.7099999999991</v>
      </c>
      <c r="U503" s="22" t="s">
        <v>36</v>
      </c>
    </row>
    <row r="504" spans="1:21" ht="15.75" customHeight="1">
      <c r="A504" s="21">
        <v>489</v>
      </c>
      <c r="B504" s="21" t="s">
        <v>598</v>
      </c>
      <c r="C504" s="21" t="s">
        <v>51</v>
      </c>
      <c r="D504" s="21" t="s">
        <v>52</v>
      </c>
      <c r="E504" s="22" t="s">
        <v>29</v>
      </c>
      <c r="F504" s="19">
        <v>15000</v>
      </c>
      <c r="G504" s="20">
        <v>0</v>
      </c>
      <c r="H504" s="20">
        <v>25</v>
      </c>
      <c r="I504" s="20">
        <v>0</v>
      </c>
      <c r="J504" s="20">
        <v>0</v>
      </c>
      <c r="K504" s="20">
        <f t="shared" si="78"/>
        <v>430.5</v>
      </c>
      <c r="L504" s="20">
        <f t="shared" si="79"/>
        <v>1065</v>
      </c>
      <c r="M504" s="20">
        <v>195</v>
      </c>
      <c r="N504" s="20">
        <v>456</v>
      </c>
      <c r="O504" s="20">
        <v>1063.5</v>
      </c>
      <c r="P504" s="20">
        <v>0</v>
      </c>
      <c r="Q504" s="19">
        <f t="shared" si="80"/>
        <v>886.5</v>
      </c>
      <c r="R504" s="19">
        <f t="shared" si="81"/>
        <v>911.5</v>
      </c>
      <c r="S504" s="19">
        <f t="shared" si="82"/>
        <v>2323.5</v>
      </c>
      <c r="T504" s="19">
        <f t="shared" si="83"/>
        <v>14088.5</v>
      </c>
      <c r="U504" s="22" t="s">
        <v>30</v>
      </c>
    </row>
    <row r="505" spans="1:21" ht="15.75" customHeight="1">
      <c r="A505" s="17">
        <v>490</v>
      </c>
      <c r="B505" s="21" t="s">
        <v>599</v>
      </c>
      <c r="C505" s="21" t="s">
        <v>68</v>
      </c>
      <c r="D505" s="21" t="s">
        <v>72</v>
      </c>
      <c r="E505" s="22" t="s">
        <v>29</v>
      </c>
      <c r="F505" s="19">
        <v>40000</v>
      </c>
      <c r="G505" s="20">
        <v>442.65</v>
      </c>
      <c r="H505" s="20">
        <v>25</v>
      </c>
      <c r="I505" s="20">
        <v>0</v>
      </c>
      <c r="J505" s="20">
        <v>0</v>
      </c>
      <c r="K505" s="20">
        <f t="shared" si="78"/>
        <v>1148</v>
      </c>
      <c r="L505" s="20">
        <f t="shared" si="79"/>
        <v>2839.9999999999995</v>
      </c>
      <c r="M505" s="20">
        <v>520</v>
      </c>
      <c r="N505" s="20">
        <v>1216</v>
      </c>
      <c r="O505" s="20">
        <v>2836</v>
      </c>
      <c r="P505" s="20">
        <v>0</v>
      </c>
      <c r="Q505" s="19">
        <f t="shared" si="80"/>
        <v>2364</v>
      </c>
      <c r="R505" s="19">
        <f t="shared" si="81"/>
        <v>2831.65</v>
      </c>
      <c r="S505" s="19">
        <f t="shared" si="82"/>
        <v>6196</v>
      </c>
      <c r="T505" s="19">
        <f t="shared" si="83"/>
        <v>37168.35</v>
      </c>
      <c r="U505" s="22" t="s">
        <v>36</v>
      </c>
    </row>
    <row r="506" spans="1:21" ht="15.75" customHeight="1">
      <c r="A506" s="21">
        <v>491</v>
      </c>
      <c r="B506" s="21" t="s">
        <v>600</v>
      </c>
      <c r="C506" s="21" t="s">
        <v>96</v>
      </c>
      <c r="D506" s="21" t="s">
        <v>49</v>
      </c>
      <c r="E506" s="22" t="s">
        <v>29</v>
      </c>
      <c r="F506" s="19">
        <v>20000</v>
      </c>
      <c r="G506" s="20">
        <v>0</v>
      </c>
      <c r="H506" s="20">
        <v>25</v>
      </c>
      <c r="I506" s="20">
        <v>0</v>
      </c>
      <c r="J506" s="20">
        <v>0</v>
      </c>
      <c r="K506" s="20">
        <f t="shared" si="78"/>
        <v>574</v>
      </c>
      <c r="L506" s="20">
        <f t="shared" si="79"/>
        <v>1419.9999999999998</v>
      </c>
      <c r="M506" s="20">
        <v>260</v>
      </c>
      <c r="N506" s="20">
        <v>608</v>
      </c>
      <c r="O506" s="20">
        <v>1418</v>
      </c>
      <c r="P506" s="20">
        <v>0</v>
      </c>
      <c r="Q506" s="19">
        <f t="shared" si="80"/>
        <v>1182</v>
      </c>
      <c r="R506" s="19">
        <f t="shared" si="81"/>
        <v>1207</v>
      </c>
      <c r="S506" s="19">
        <f t="shared" si="82"/>
        <v>3098</v>
      </c>
      <c r="T506" s="19">
        <f t="shared" si="83"/>
        <v>18793</v>
      </c>
      <c r="U506" s="22" t="s">
        <v>30</v>
      </c>
    </row>
    <row r="507" spans="1:21" ht="15.75" customHeight="1">
      <c r="A507" s="21">
        <v>492</v>
      </c>
      <c r="B507" s="21" t="s">
        <v>601</v>
      </c>
      <c r="C507" s="21" t="s">
        <v>196</v>
      </c>
      <c r="D507" s="21" t="s">
        <v>72</v>
      </c>
      <c r="E507" s="22" t="s">
        <v>29</v>
      </c>
      <c r="F507" s="19">
        <v>18000</v>
      </c>
      <c r="G507" s="20">
        <v>0</v>
      </c>
      <c r="H507" s="20">
        <v>25</v>
      </c>
      <c r="I507" s="20">
        <v>0</v>
      </c>
      <c r="J507" s="20">
        <v>0</v>
      </c>
      <c r="K507" s="20">
        <f t="shared" si="78"/>
        <v>516.6</v>
      </c>
      <c r="L507" s="20">
        <f t="shared" si="79"/>
        <v>1277.9999999999998</v>
      </c>
      <c r="M507" s="20">
        <v>234</v>
      </c>
      <c r="N507" s="20">
        <v>547.20000000000005</v>
      </c>
      <c r="O507" s="20">
        <v>1276.2</v>
      </c>
      <c r="P507" s="20">
        <v>0</v>
      </c>
      <c r="Q507" s="19">
        <f t="shared" si="80"/>
        <v>1063.8000000000002</v>
      </c>
      <c r="R507" s="19">
        <f t="shared" si="81"/>
        <v>1088.8000000000002</v>
      </c>
      <c r="S507" s="19">
        <f t="shared" si="82"/>
        <v>2788.2</v>
      </c>
      <c r="T507" s="19">
        <f t="shared" si="83"/>
        <v>16911.2</v>
      </c>
      <c r="U507" s="22" t="s">
        <v>30</v>
      </c>
    </row>
    <row r="508" spans="1:21" ht="15.75" customHeight="1">
      <c r="A508" s="17">
        <v>493</v>
      </c>
      <c r="B508" s="21" t="s">
        <v>602</v>
      </c>
      <c r="C508" s="21" t="s">
        <v>531</v>
      </c>
      <c r="D508" s="21" t="s">
        <v>98</v>
      </c>
      <c r="E508" s="22" t="s">
        <v>29</v>
      </c>
      <c r="F508" s="19">
        <v>20000</v>
      </c>
      <c r="G508" s="20">
        <v>0</v>
      </c>
      <c r="H508" s="20">
        <v>25</v>
      </c>
      <c r="I508" s="20">
        <v>0</v>
      </c>
      <c r="J508" s="20">
        <v>0</v>
      </c>
      <c r="K508" s="20">
        <f t="shared" si="78"/>
        <v>574</v>
      </c>
      <c r="L508" s="20">
        <f t="shared" si="79"/>
        <v>1419.9999999999998</v>
      </c>
      <c r="M508" s="20">
        <v>260</v>
      </c>
      <c r="N508" s="20">
        <v>608</v>
      </c>
      <c r="O508" s="20">
        <v>1418</v>
      </c>
      <c r="P508" s="20">
        <v>0</v>
      </c>
      <c r="Q508" s="19">
        <f t="shared" si="80"/>
        <v>1182</v>
      </c>
      <c r="R508" s="19">
        <f t="shared" si="81"/>
        <v>1207</v>
      </c>
      <c r="S508" s="19">
        <f t="shared" si="82"/>
        <v>3098</v>
      </c>
      <c r="T508" s="19">
        <f t="shared" si="83"/>
        <v>18793</v>
      </c>
      <c r="U508" s="22" t="s">
        <v>30</v>
      </c>
    </row>
    <row r="509" spans="1:21" ht="15.75" customHeight="1">
      <c r="A509" s="21">
        <v>494</v>
      </c>
      <c r="B509" s="21" t="s">
        <v>603</v>
      </c>
      <c r="C509" s="21" t="s">
        <v>66</v>
      </c>
      <c r="D509" s="21" t="s">
        <v>98</v>
      </c>
      <c r="E509" s="22" t="s">
        <v>29</v>
      </c>
      <c r="F509" s="19">
        <v>30000</v>
      </c>
      <c r="G509" s="20">
        <v>0</v>
      </c>
      <c r="H509" s="20">
        <v>25</v>
      </c>
      <c r="I509" s="20">
        <v>0</v>
      </c>
      <c r="J509" s="20">
        <f>700+300+4055.14</f>
        <v>5055.1399999999994</v>
      </c>
      <c r="K509" s="20">
        <f t="shared" si="78"/>
        <v>861</v>
      </c>
      <c r="L509" s="20">
        <f t="shared" si="79"/>
        <v>2130</v>
      </c>
      <c r="M509" s="20">
        <v>390</v>
      </c>
      <c r="N509" s="20">
        <v>912</v>
      </c>
      <c r="O509" s="20">
        <v>2127</v>
      </c>
      <c r="P509" s="20">
        <v>0</v>
      </c>
      <c r="Q509" s="19">
        <f t="shared" si="80"/>
        <v>1773</v>
      </c>
      <c r="R509" s="19">
        <f t="shared" si="81"/>
        <v>6853.1399999999994</v>
      </c>
      <c r="S509" s="19">
        <f t="shared" si="82"/>
        <v>4647</v>
      </c>
      <c r="T509" s="19">
        <f t="shared" si="83"/>
        <v>23146.86</v>
      </c>
      <c r="U509" s="22" t="s">
        <v>30</v>
      </c>
    </row>
    <row r="510" spans="1:21" ht="15.75" customHeight="1">
      <c r="A510" s="21">
        <v>495</v>
      </c>
      <c r="B510" s="21" t="s">
        <v>604</v>
      </c>
      <c r="C510" s="21" t="s">
        <v>605</v>
      </c>
      <c r="D510" s="21" t="s">
        <v>72</v>
      </c>
      <c r="E510" s="22" t="s">
        <v>302</v>
      </c>
      <c r="F510" s="19">
        <v>20000</v>
      </c>
      <c r="G510" s="20">
        <v>0</v>
      </c>
      <c r="H510" s="20">
        <v>25</v>
      </c>
      <c r="I510" s="20">
        <v>0</v>
      </c>
      <c r="J510" s="20">
        <v>0</v>
      </c>
      <c r="K510" s="20">
        <f t="shared" si="78"/>
        <v>574</v>
      </c>
      <c r="L510" s="20">
        <f t="shared" si="79"/>
        <v>1419.9999999999998</v>
      </c>
      <c r="M510" s="20">
        <v>260</v>
      </c>
      <c r="N510" s="20">
        <v>608</v>
      </c>
      <c r="O510" s="20">
        <v>1418</v>
      </c>
      <c r="P510" s="20">
        <v>0</v>
      </c>
      <c r="Q510" s="19">
        <f t="shared" si="80"/>
        <v>1182</v>
      </c>
      <c r="R510" s="19">
        <f t="shared" si="81"/>
        <v>1207</v>
      </c>
      <c r="S510" s="19">
        <f t="shared" si="82"/>
        <v>3098</v>
      </c>
      <c r="T510" s="19">
        <f t="shared" si="83"/>
        <v>18793</v>
      </c>
      <c r="U510" s="22" t="s">
        <v>30</v>
      </c>
    </row>
    <row r="511" spans="1:21" ht="15.75" customHeight="1">
      <c r="A511" s="17">
        <v>496</v>
      </c>
      <c r="B511" s="21" t="s">
        <v>606</v>
      </c>
      <c r="C511" s="21" t="s">
        <v>66</v>
      </c>
      <c r="D511" s="21" t="s">
        <v>58</v>
      </c>
      <c r="E511" s="22" t="s">
        <v>29</v>
      </c>
      <c r="F511" s="19">
        <v>31000</v>
      </c>
      <c r="G511" s="20">
        <v>0</v>
      </c>
      <c r="H511" s="20">
        <v>25</v>
      </c>
      <c r="I511" s="20">
        <v>0</v>
      </c>
      <c r="J511" s="20">
        <v>0</v>
      </c>
      <c r="K511" s="20">
        <f t="shared" si="78"/>
        <v>889.7</v>
      </c>
      <c r="L511" s="20">
        <f t="shared" si="79"/>
        <v>2201</v>
      </c>
      <c r="M511" s="20">
        <v>403</v>
      </c>
      <c r="N511" s="20">
        <v>942.4</v>
      </c>
      <c r="O511" s="20">
        <v>2197.9</v>
      </c>
      <c r="P511" s="20">
        <v>0</v>
      </c>
      <c r="Q511" s="19">
        <f t="shared" si="80"/>
        <v>1832.1</v>
      </c>
      <c r="R511" s="19">
        <f t="shared" si="81"/>
        <v>1857.1</v>
      </c>
      <c r="S511" s="19">
        <f t="shared" si="82"/>
        <v>4801.8999999999996</v>
      </c>
      <c r="T511" s="19">
        <f t="shared" si="83"/>
        <v>29142.9</v>
      </c>
      <c r="U511" s="22" t="s">
        <v>30</v>
      </c>
    </row>
    <row r="512" spans="1:21" ht="15.75" customHeight="1">
      <c r="A512" s="21">
        <v>497</v>
      </c>
      <c r="B512" s="21" t="s">
        <v>607</v>
      </c>
      <c r="C512" s="21" t="s">
        <v>365</v>
      </c>
      <c r="D512" s="21" t="s">
        <v>61</v>
      </c>
      <c r="E512" s="22" t="s">
        <v>29</v>
      </c>
      <c r="F512" s="19">
        <v>12000</v>
      </c>
      <c r="G512" s="20">
        <v>0</v>
      </c>
      <c r="H512" s="20">
        <v>25</v>
      </c>
      <c r="I512" s="20">
        <v>0</v>
      </c>
      <c r="J512" s="20">
        <f>300+300+2833.45+1965</f>
        <v>5398.45</v>
      </c>
      <c r="K512" s="20">
        <f t="shared" si="78"/>
        <v>344.4</v>
      </c>
      <c r="L512" s="20">
        <f t="shared" si="79"/>
        <v>851.99999999999989</v>
      </c>
      <c r="M512" s="20">
        <v>156</v>
      </c>
      <c r="N512" s="20">
        <v>364.8</v>
      </c>
      <c r="O512" s="20">
        <v>850.80000000000007</v>
      </c>
      <c r="P512" s="20">
        <v>0</v>
      </c>
      <c r="Q512" s="19">
        <f t="shared" si="80"/>
        <v>709.2</v>
      </c>
      <c r="R512" s="19">
        <f t="shared" si="81"/>
        <v>6132.65</v>
      </c>
      <c r="S512" s="19">
        <f t="shared" si="82"/>
        <v>1858.8</v>
      </c>
      <c r="T512" s="19">
        <f t="shared" si="83"/>
        <v>5867.35</v>
      </c>
      <c r="U512" s="22" t="s">
        <v>30</v>
      </c>
    </row>
    <row r="513" spans="1:21" ht="15.75" customHeight="1">
      <c r="A513" s="21">
        <v>498</v>
      </c>
      <c r="B513" s="21" t="s">
        <v>608</v>
      </c>
      <c r="C513" s="21" t="s">
        <v>57</v>
      </c>
      <c r="D513" s="21" t="s">
        <v>58</v>
      </c>
      <c r="E513" s="22" t="s">
        <v>29</v>
      </c>
      <c r="F513" s="19">
        <v>15000</v>
      </c>
      <c r="G513" s="20">
        <v>0</v>
      </c>
      <c r="H513" s="20">
        <v>25</v>
      </c>
      <c r="I513" s="20">
        <v>0</v>
      </c>
      <c r="J513" s="20">
        <v>0</v>
      </c>
      <c r="K513" s="20">
        <f t="shared" si="78"/>
        <v>430.5</v>
      </c>
      <c r="L513" s="20">
        <f t="shared" si="79"/>
        <v>1065</v>
      </c>
      <c r="M513" s="20">
        <v>195</v>
      </c>
      <c r="N513" s="20">
        <v>456</v>
      </c>
      <c r="O513" s="20">
        <v>1063.5</v>
      </c>
      <c r="P513" s="20">
        <v>0</v>
      </c>
      <c r="Q513" s="19">
        <f t="shared" si="80"/>
        <v>886.5</v>
      </c>
      <c r="R513" s="19">
        <f t="shared" si="81"/>
        <v>911.5</v>
      </c>
      <c r="S513" s="19">
        <f t="shared" si="82"/>
        <v>2323.5</v>
      </c>
      <c r="T513" s="19">
        <f t="shared" si="83"/>
        <v>14088.5</v>
      </c>
      <c r="U513" s="22" t="s">
        <v>30</v>
      </c>
    </row>
    <row r="514" spans="1:21" ht="15.75" customHeight="1">
      <c r="A514" s="17">
        <v>499</v>
      </c>
      <c r="B514" s="21" t="s">
        <v>609</v>
      </c>
      <c r="C514" s="21" t="s">
        <v>63</v>
      </c>
      <c r="D514" s="21" t="s">
        <v>98</v>
      </c>
      <c r="E514" s="22" t="s">
        <v>29</v>
      </c>
      <c r="F514" s="19">
        <v>20000</v>
      </c>
      <c r="G514" s="20">
        <v>0</v>
      </c>
      <c r="H514" s="20">
        <v>25</v>
      </c>
      <c r="I514" s="20">
        <v>0</v>
      </c>
      <c r="J514" s="20">
        <v>0</v>
      </c>
      <c r="K514" s="20">
        <f t="shared" si="78"/>
        <v>574</v>
      </c>
      <c r="L514" s="20">
        <f t="shared" si="79"/>
        <v>1419.9999999999998</v>
      </c>
      <c r="M514" s="20">
        <v>260</v>
      </c>
      <c r="N514" s="20">
        <v>608</v>
      </c>
      <c r="O514" s="20">
        <v>1418</v>
      </c>
      <c r="P514" s="20">
        <v>0</v>
      </c>
      <c r="Q514" s="19">
        <f t="shared" si="80"/>
        <v>1182</v>
      </c>
      <c r="R514" s="19">
        <f t="shared" si="81"/>
        <v>1207</v>
      </c>
      <c r="S514" s="19">
        <f t="shared" si="82"/>
        <v>3098</v>
      </c>
      <c r="T514" s="19">
        <f t="shared" si="83"/>
        <v>18793</v>
      </c>
      <c r="U514" s="22" t="s">
        <v>30</v>
      </c>
    </row>
    <row r="515" spans="1:21" ht="15.75" customHeight="1">
      <c r="A515" s="21">
        <v>500</v>
      </c>
      <c r="B515" s="21" t="s">
        <v>610</v>
      </c>
      <c r="C515" s="21" t="s">
        <v>88</v>
      </c>
      <c r="D515" s="21" t="s">
        <v>61</v>
      </c>
      <c r="E515" s="22" t="s">
        <v>29</v>
      </c>
      <c r="F515" s="19">
        <v>25000</v>
      </c>
      <c r="G515" s="20">
        <v>0</v>
      </c>
      <c r="H515" s="20">
        <v>25</v>
      </c>
      <c r="I515" s="20">
        <v>0</v>
      </c>
      <c r="J515" s="20">
        <f>3000+300</f>
        <v>3300</v>
      </c>
      <c r="K515" s="20">
        <f t="shared" si="78"/>
        <v>717.5</v>
      </c>
      <c r="L515" s="20">
        <f t="shared" si="79"/>
        <v>1774.9999999999998</v>
      </c>
      <c r="M515" s="20">
        <v>325</v>
      </c>
      <c r="N515" s="20">
        <v>760</v>
      </c>
      <c r="O515" s="20">
        <v>1772.5000000000002</v>
      </c>
      <c r="P515" s="20">
        <v>0</v>
      </c>
      <c r="Q515" s="19">
        <f t="shared" si="80"/>
        <v>1477.5</v>
      </c>
      <c r="R515" s="19">
        <f t="shared" si="81"/>
        <v>4802.5</v>
      </c>
      <c r="S515" s="19">
        <f t="shared" si="82"/>
        <v>3872.5</v>
      </c>
      <c r="T515" s="19">
        <f t="shared" si="83"/>
        <v>20197.5</v>
      </c>
      <c r="U515" s="22" t="s">
        <v>30</v>
      </c>
    </row>
    <row r="516" spans="1:21" ht="15.75" customHeight="1">
      <c r="A516" s="21">
        <v>501</v>
      </c>
      <c r="B516" s="21" t="s">
        <v>611</v>
      </c>
      <c r="C516" s="21" t="s">
        <v>235</v>
      </c>
      <c r="D516" s="21" t="s">
        <v>72</v>
      </c>
      <c r="E516" s="22" t="s">
        <v>29</v>
      </c>
      <c r="F516" s="19">
        <v>25000</v>
      </c>
      <c r="G516" s="20">
        <v>0</v>
      </c>
      <c r="H516" s="20">
        <v>25</v>
      </c>
      <c r="I516" s="20">
        <v>0</v>
      </c>
      <c r="J516" s="20">
        <f>1000+300</f>
        <v>1300</v>
      </c>
      <c r="K516" s="20">
        <f t="shared" si="78"/>
        <v>717.5</v>
      </c>
      <c r="L516" s="20">
        <f t="shared" si="79"/>
        <v>1774.9999999999998</v>
      </c>
      <c r="M516" s="20">
        <v>325</v>
      </c>
      <c r="N516" s="20">
        <v>760</v>
      </c>
      <c r="O516" s="20">
        <v>1772.5000000000002</v>
      </c>
      <c r="P516" s="20">
        <v>0</v>
      </c>
      <c r="Q516" s="19">
        <f t="shared" si="80"/>
        <v>1477.5</v>
      </c>
      <c r="R516" s="19">
        <f t="shared" si="81"/>
        <v>2802.5</v>
      </c>
      <c r="S516" s="19">
        <f t="shared" si="82"/>
        <v>3872.5</v>
      </c>
      <c r="T516" s="19">
        <f t="shared" si="83"/>
        <v>22197.5</v>
      </c>
      <c r="U516" s="22" t="s">
        <v>36</v>
      </c>
    </row>
    <row r="517" spans="1:21" ht="15.75" customHeight="1">
      <c r="A517" s="17">
        <v>502</v>
      </c>
      <c r="B517" s="21" t="s">
        <v>612</v>
      </c>
      <c r="C517" s="21" t="s">
        <v>88</v>
      </c>
      <c r="D517" s="21" t="s">
        <v>58</v>
      </c>
      <c r="E517" s="22" t="s">
        <v>29</v>
      </c>
      <c r="F517" s="19">
        <v>15000</v>
      </c>
      <c r="G517" s="20">
        <v>0</v>
      </c>
      <c r="H517" s="20">
        <v>25</v>
      </c>
      <c r="I517" s="20">
        <v>0</v>
      </c>
      <c r="J517" s="20">
        <v>0</v>
      </c>
      <c r="K517" s="20">
        <f t="shared" si="78"/>
        <v>430.5</v>
      </c>
      <c r="L517" s="20">
        <f t="shared" si="79"/>
        <v>1065</v>
      </c>
      <c r="M517" s="20">
        <v>195</v>
      </c>
      <c r="N517" s="20">
        <v>456</v>
      </c>
      <c r="O517" s="20">
        <v>1063.5</v>
      </c>
      <c r="P517" s="20">
        <v>0</v>
      </c>
      <c r="Q517" s="19">
        <f t="shared" si="80"/>
        <v>886.5</v>
      </c>
      <c r="R517" s="19">
        <f t="shared" si="81"/>
        <v>911.5</v>
      </c>
      <c r="S517" s="19">
        <f t="shared" si="82"/>
        <v>2323.5</v>
      </c>
      <c r="T517" s="19">
        <f t="shared" si="83"/>
        <v>14088.5</v>
      </c>
      <c r="U517" s="22" t="s">
        <v>36</v>
      </c>
    </row>
    <row r="518" spans="1:21" ht="15.75" customHeight="1">
      <c r="A518" s="21">
        <v>503</v>
      </c>
      <c r="B518" s="21" t="s">
        <v>613</v>
      </c>
      <c r="C518" s="21" t="s">
        <v>88</v>
      </c>
      <c r="D518" s="21" t="s">
        <v>64</v>
      </c>
      <c r="E518" s="22" t="s">
        <v>29</v>
      </c>
      <c r="F518" s="19">
        <v>10000</v>
      </c>
      <c r="G518" s="20">
        <v>0</v>
      </c>
      <c r="H518" s="20">
        <v>25</v>
      </c>
      <c r="I518" s="20">
        <v>0</v>
      </c>
      <c r="J518" s="20">
        <v>0</v>
      </c>
      <c r="K518" s="20">
        <f t="shared" si="78"/>
        <v>287</v>
      </c>
      <c r="L518" s="20">
        <f t="shared" si="79"/>
        <v>709.99999999999989</v>
      </c>
      <c r="M518" s="20">
        <v>130</v>
      </c>
      <c r="N518" s="20">
        <v>304</v>
      </c>
      <c r="O518" s="20">
        <v>709</v>
      </c>
      <c r="P518" s="20">
        <v>0</v>
      </c>
      <c r="Q518" s="19">
        <f t="shared" si="80"/>
        <v>591</v>
      </c>
      <c r="R518" s="19">
        <f t="shared" si="81"/>
        <v>616</v>
      </c>
      <c r="S518" s="19">
        <f t="shared" si="82"/>
        <v>1549</v>
      </c>
      <c r="T518" s="19">
        <f t="shared" si="83"/>
        <v>9384</v>
      </c>
      <c r="U518" s="22" t="s">
        <v>30</v>
      </c>
    </row>
    <row r="519" spans="1:21" ht="15.75" customHeight="1">
      <c r="A519" s="21">
        <v>504</v>
      </c>
      <c r="B519" s="21" t="s">
        <v>614</v>
      </c>
      <c r="C519" s="21" t="s">
        <v>71</v>
      </c>
      <c r="D519" s="21" t="s">
        <v>72</v>
      </c>
      <c r="E519" s="22" t="s">
        <v>29</v>
      </c>
      <c r="F519" s="19">
        <v>18000</v>
      </c>
      <c r="G519" s="20">
        <v>0</v>
      </c>
      <c r="H519" s="20">
        <v>25</v>
      </c>
      <c r="I519" s="20">
        <v>0</v>
      </c>
      <c r="J519" s="20">
        <v>0</v>
      </c>
      <c r="K519" s="20">
        <f t="shared" si="78"/>
        <v>516.6</v>
      </c>
      <c r="L519" s="20">
        <f t="shared" si="79"/>
        <v>1277.9999999999998</v>
      </c>
      <c r="M519" s="20">
        <v>234</v>
      </c>
      <c r="N519" s="20">
        <v>547.20000000000005</v>
      </c>
      <c r="O519" s="20">
        <v>1276.2</v>
      </c>
      <c r="P519" s="20">
        <v>0</v>
      </c>
      <c r="Q519" s="19">
        <f t="shared" si="80"/>
        <v>1063.8000000000002</v>
      </c>
      <c r="R519" s="19">
        <f t="shared" si="81"/>
        <v>1088.8000000000002</v>
      </c>
      <c r="S519" s="19">
        <f t="shared" si="82"/>
        <v>2788.2</v>
      </c>
      <c r="T519" s="19">
        <f t="shared" si="83"/>
        <v>16911.2</v>
      </c>
      <c r="U519" s="22" t="s">
        <v>36</v>
      </c>
    </row>
    <row r="520" spans="1:21" ht="15.75" customHeight="1">
      <c r="A520" s="17">
        <v>505</v>
      </c>
      <c r="B520" s="21" t="s">
        <v>615</v>
      </c>
      <c r="C520" s="21" t="s">
        <v>71</v>
      </c>
      <c r="D520" s="21" t="s">
        <v>72</v>
      </c>
      <c r="E520" s="22" t="s">
        <v>29</v>
      </c>
      <c r="F520" s="19">
        <v>18000</v>
      </c>
      <c r="G520" s="20">
        <v>0</v>
      </c>
      <c r="H520" s="20">
        <v>25</v>
      </c>
      <c r="I520" s="20">
        <v>0</v>
      </c>
      <c r="J520" s="20">
        <v>0</v>
      </c>
      <c r="K520" s="20">
        <f t="shared" si="78"/>
        <v>516.6</v>
      </c>
      <c r="L520" s="20">
        <f t="shared" si="79"/>
        <v>1277.9999999999998</v>
      </c>
      <c r="M520" s="20">
        <v>234</v>
      </c>
      <c r="N520" s="20">
        <v>547.20000000000005</v>
      </c>
      <c r="O520" s="20">
        <v>1276.2</v>
      </c>
      <c r="P520" s="20">
        <v>0</v>
      </c>
      <c r="Q520" s="19">
        <f t="shared" si="80"/>
        <v>1063.8000000000002</v>
      </c>
      <c r="R520" s="19">
        <f t="shared" si="81"/>
        <v>1088.8000000000002</v>
      </c>
      <c r="S520" s="19">
        <f t="shared" si="82"/>
        <v>2788.2</v>
      </c>
      <c r="T520" s="19">
        <f t="shared" si="83"/>
        <v>16911.2</v>
      </c>
      <c r="U520" s="22" t="s">
        <v>36</v>
      </c>
    </row>
    <row r="521" spans="1:21" ht="15.75" customHeight="1">
      <c r="A521" s="21">
        <v>506</v>
      </c>
      <c r="B521" s="21" t="s">
        <v>616</v>
      </c>
      <c r="C521" s="21" t="s">
        <v>235</v>
      </c>
      <c r="D521" s="21" t="s">
        <v>72</v>
      </c>
      <c r="E521" s="22" t="s">
        <v>29</v>
      </c>
      <c r="F521" s="19">
        <v>15000</v>
      </c>
      <c r="G521" s="20">
        <v>0</v>
      </c>
      <c r="H521" s="20">
        <v>25</v>
      </c>
      <c r="I521" s="20">
        <v>0</v>
      </c>
      <c r="J521" s="20">
        <f>150+1000+1545.16</f>
        <v>2695.16</v>
      </c>
      <c r="K521" s="20">
        <f t="shared" si="78"/>
        <v>430.5</v>
      </c>
      <c r="L521" s="20">
        <f t="shared" si="79"/>
        <v>1065</v>
      </c>
      <c r="M521" s="20">
        <v>195</v>
      </c>
      <c r="N521" s="20">
        <v>456</v>
      </c>
      <c r="O521" s="20">
        <v>1063.5</v>
      </c>
      <c r="P521" s="20">
        <v>0</v>
      </c>
      <c r="Q521" s="19">
        <f t="shared" si="80"/>
        <v>886.5</v>
      </c>
      <c r="R521" s="19">
        <f t="shared" si="81"/>
        <v>3606.66</v>
      </c>
      <c r="S521" s="19">
        <f t="shared" si="82"/>
        <v>2323.5</v>
      </c>
      <c r="T521" s="19">
        <f t="shared" si="83"/>
        <v>11393.34</v>
      </c>
      <c r="U521" s="22" t="s">
        <v>36</v>
      </c>
    </row>
    <row r="522" spans="1:21" ht="15.75" customHeight="1">
      <c r="A522" s="21">
        <v>507</v>
      </c>
      <c r="B522" s="21" t="s">
        <v>617</v>
      </c>
      <c r="C522" s="21" t="s">
        <v>88</v>
      </c>
      <c r="D522" s="21" t="s">
        <v>72</v>
      </c>
      <c r="E522" s="22" t="s">
        <v>29</v>
      </c>
      <c r="F522" s="19">
        <v>17000</v>
      </c>
      <c r="G522" s="20">
        <v>0</v>
      </c>
      <c r="H522" s="20">
        <v>25</v>
      </c>
      <c r="I522" s="20">
        <v>0</v>
      </c>
      <c r="J522" s="20">
        <f>700+300</f>
        <v>1000</v>
      </c>
      <c r="K522" s="20">
        <f t="shared" si="78"/>
        <v>487.9</v>
      </c>
      <c r="L522" s="20">
        <f t="shared" si="79"/>
        <v>1207</v>
      </c>
      <c r="M522" s="20">
        <v>221</v>
      </c>
      <c r="N522" s="20">
        <v>516.79999999999995</v>
      </c>
      <c r="O522" s="20">
        <v>1205.3000000000002</v>
      </c>
      <c r="P522" s="20">
        <v>0</v>
      </c>
      <c r="Q522" s="19">
        <f t="shared" si="80"/>
        <v>1004.6999999999999</v>
      </c>
      <c r="R522" s="19">
        <f t="shared" si="81"/>
        <v>2029.7</v>
      </c>
      <c r="S522" s="19">
        <f t="shared" si="82"/>
        <v>2633.3</v>
      </c>
      <c r="T522" s="19">
        <f t="shared" si="83"/>
        <v>14970.3</v>
      </c>
      <c r="U522" s="22" t="s">
        <v>36</v>
      </c>
    </row>
    <row r="523" spans="1:21" ht="15.75" customHeight="1">
      <c r="A523" s="17">
        <v>508</v>
      </c>
      <c r="B523" s="21" t="s">
        <v>618</v>
      </c>
      <c r="C523" s="21" t="s">
        <v>88</v>
      </c>
      <c r="D523" s="21" t="s">
        <v>61</v>
      </c>
      <c r="E523" s="22" t="s">
        <v>29</v>
      </c>
      <c r="F523" s="19">
        <v>15000</v>
      </c>
      <c r="G523" s="20">
        <v>0</v>
      </c>
      <c r="H523" s="20">
        <v>25</v>
      </c>
      <c r="I523" s="20">
        <v>0</v>
      </c>
      <c r="J523" s="20">
        <v>0</v>
      </c>
      <c r="K523" s="20">
        <f t="shared" si="78"/>
        <v>430.5</v>
      </c>
      <c r="L523" s="20">
        <f t="shared" si="79"/>
        <v>1065</v>
      </c>
      <c r="M523" s="20">
        <v>195</v>
      </c>
      <c r="N523" s="20">
        <v>456</v>
      </c>
      <c r="O523" s="20">
        <v>1063.5</v>
      </c>
      <c r="P523" s="20">
        <v>0</v>
      </c>
      <c r="Q523" s="19">
        <f t="shared" si="80"/>
        <v>886.5</v>
      </c>
      <c r="R523" s="19">
        <f t="shared" si="81"/>
        <v>911.5</v>
      </c>
      <c r="S523" s="19">
        <f t="shared" si="82"/>
        <v>2323.5</v>
      </c>
      <c r="T523" s="19">
        <f t="shared" si="83"/>
        <v>14088.5</v>
      </c>
      <c r="U523" s="22" t="s">
        <v>30</v>
      </c>
    </row>
    <row r="524" spans="1:21" ht="15.75" customHeight="1">
      <c r="A524" s="21">
        <v>509</v>
      </c>
      <c r="B524" s="21" t="s">
        <v>619</v>
      </c>
      <c r="C524" s="21" t="s">
        <v>66</v>
      </c>
      <c r="D524" s="21" t="s">
        <v>466</v>
      </c>
      <c r="E524" s="22" t="s">
        <v>29</v>
      </c>
      <c r="F524" s="19">
        <v>25000</v>
      </c>
      <c r="G524" s="20">
        <v>0</v>
      </c>
      <c r="H524" s="20">
        <v>25</v>
      </c>
      <c r="I524" s="20">
        <v>0</v>
      </c>
      <c r="J524" s="20">
        <v>0</v>
      </c>
      <c r="K524" s="20">
        <f t="shared" si="78"/>
        <v>717.5</v>
      </c>
      <c r="L524" s="20">
        <f t="shared" si="79"/>
        <v>1774.9999999999998</v>
      </c>
      <c r="M524" s="20">
        <v>325</v>
      </c>
      <c r="N524" s="20">
        <v>760</v>
      </c>
      <c r="O524" s="20">
        <v>1772.5000000000002</v>
      </c>
      <c r="P524" s="20">
        <v>0</v>
      </c>
      <c r="Q524" s="19">
        <f t="shared" si="80"/>
        <v>1477.5</v>
      </c>
      <c r="R524" s="19">
        <f t="shared" si="81"/>
        <v>1502.5</v>
      </c>
      <c r="S524" s="19">
        <f t="shared" si="82"/>
        <v>3872.5</v>
      </c>
      <c r="T524" s="19">
        <f t="shared" si="83"/>
        <v>23497.5</v>
      </c>
      <c r="U524" s="22" t="s">
        <v>30</v>
      </c>
    </row>
    <row r="525" spans="1:21" ht="15.75" customHeight="1">
      <c r="A525" s="21">
        <v>510</v>
      </c>
      <c r="B525" s="21" t="s">
        <v>620</v>
      </c>
      <c r="C525" s="21" t="s">
        <v>51</v>
      </c>
      <c r="D525" s="21" t="s">
        <v>52</v>
      </c>
      <c r="E525" s="22" t="s">
        <v>29</v>
      </c>
      <c r="F525" s="19">
        <v>13000</v>
      </c>
      <c r="G525" s="20">
        <v>0</v>
      </c>
      <c r="H525" s="20">
        <v>25</v>
      </c>
      <c r="I525" s="20">
        <v>0</v>
      </c>
      <c r="J525" s="20">
        <v>0</v>
      </c>
      <c r="K525" s="20">
        <f t="shared" si="78"/>
        <v>373.1</v>
      </c>
      <c r="L525" s="20">
        <f t="shared" si="79"/>
        <v>922.99999999999989</v>
      </c>
      <c r="M525" s="20">
        <v>169</v>
      </c>
      <c r="N525" s="20">
        <v>395.2</v>
      </c>
      <c r="O525" s="20">
        <v>921.7</v>
      </c>
      <c r="P525" s="20">
        <v>0</v>
      </c>
      <c r="Q525" s="19">
        <f t="shared" si="80"/>
        <v>768.3</v>
      </c>
      <c r="R525" s="19">
        <f t="shared" si="81"/>
        <v>793.3</v>
      </c>
      <c r="S525" s="19">
        <f t="shared" si="82"/>
        <v>2013.7</v>
      </c>
      <c r="T525" s="19">
        <f t="shared" si="83"/>
        <v>12206.7</v>
      </c>
      <c r="U525" s="22" t="s">
        <v>30</v>
      </c>
    </row>
    <row r="526" spans="1:21" ht="15.75" customHeight="1">
      <c r="A526" s="17">
        <v>511</v>
      </c>
      <c r="B526" s="21" t="s">
        <v>621</v>
      </c>
      <c r="C526" s="21" t="s">
        <v>355</v>
      </c>
      <c r="D526" s="21" t="s">
        <v>78</v>
      </c>
      <c r="E526" s="22" t="s">
        <v>29</v>
      </c>
      <c r="F526" s="19">
        <v>10000</v>
      </c>
      <c r="G526" s="20">
        <v>0</v>
      </c>
      <c r="H526" s="20">
        <v>25</v>
      </c>
      <c r="I526" s="20">
        <v>0</v>
      </c>
      <c r="J526" s="20">
        <v>0</v>
      </c>
      <c r="K526" s="20">
        <f t="shared" ref="K526:K588" si="84">F526*2.87%</f>
        <v>287</v>
      </c>
      <c r="L526" s="20">
        <f t="shared" ref="L526:L588" si="85">F526*7.1%</f>
        <v>709.99999999999989</v>
      </c>
      <c r="M526" s="20">
        <v>130</v>
      </c>
      <c r="N526" s="20">
        <v>304</v>
      </c>
      <c r="O526" s="20">
        <v>709</v>
      </c>
      <c r="P526" s="20">
        <v>0</v>
      </c>
      <c r="Q526" s="19">
        <f t="shared" ref="Q526:Q588" si="86">K526+N526</f>
        <v>591</v>
      </c>
      <c r="R526" s="19">
        <f t="shared" ref="R526:R588" si="87">G526+H526+I526+J526+K526+N526+P526</f>
        <v>616</v>
      </c>
      <c r="S526" s="19">
        <f t="shared" ref="S526:S588" si="88">L526+M526+O526</f>
        <v>1549</v>
      </c>
      <c r="T526" s="19">
        <f t="shared" ref="T526:T588" si="89">F526-R526</f>
        <v>9384</v>
      </c>
      <c r="U526" s="22" t="s">
        <v>30</v>
      </c>
    </row>
    <row r="527" spans="1:21" ht="15.75" customHeight="1">
      <c r="A527" s="21">
        <v>512</v>
      </c>
      <c r="B527" s="21" t="s">
        <v>622</v>
      </c>
      <c r="C527" s="21" t="s">
        <v>68</v>
      </c>
      <c r="D527" s="21" t="s">
        <v>86</v>
      </c>
      <c r="E527" s="22" t="s">
        <v>29</v>
      </c>
      <c r="F527" s="19">
        <v>20000</v>
      </c>
      <c r="G527" s="20">
        <v>0</v>
      </c>
      <c r="H527" s="20">
        <v>25</v>
      </c>
      <c r="I527" s="20">
        <v>0</v>
      </c>
      <c r="J527" s="20">
        <v>0</v>
      </c>
      <c r="K527" s="20">
        <f t="shared" si="84"/>
        <v>574</v>
      </c>
      <c r="L527" s="20">
        <f t="shared" si="85"/>
        <v>1419.9999999999998</v>
      </c>
      <c r="M527" s="20">
        <v>260</v>
      </c>
      <c r="N527" s="20">
        <v>608</v>
      </c>
      <c r="O527" s="20">
        <v>1418</v>
      </c>
      <c r="P527" s="20">
        <v>1587.38</v>
      </c>
      <c r="Q527" s="19">
        <f t="shared" si="86"/>
        <v>1182</v>
      </c>
      <c r="R527" s="19">
        <f t="shared" si="87"/>
        <v>2794.38</v>
      </c>
      <c r="S527" s="19">
        <f t="shared" si="88"/>
        <v>3098</v>
      </c>
      <c r="T527" s="19">
        <f t="shared" si="89"/>
        <v>17205.62</v>
      </c>
      <c r="U527" s="22" t="s">
        <v>30</v>
      </c>
    </row>
    <row r="528" spans="1:21" ht="15.75" customHeight="1">
      <c r="A528" s="21">
        <v>513</v>
      </c>
      <c r="B528" s="21" t="s">
        <v>623</v>
      </c>
      <c r="C528" s="21" t="s">
        <v>57</v>
      </c>
      <c r="D528" s="21" t="s">
        <v>58</v>
      </c>
      <c r="E528" s="22" t="s">
        <v>29</v>
      </c>
      <c r="F528" s="19">
        <v>15000</v>
      </c>
      <c r="G528" s="20">
        <v>0</v>
      </c>
      <c r="H528" s="20">
        <v>25</v>
      </c>
      <c r="I528" s="20">
        <v>0</v>
      </c>
      <c r="J528" s="20">
        <v>0</v>
      </c>
      <c r="K528" s="20">
        <f t="shared" si="84"/>
        <v>430.5</v>
      </c>
      <c r="L528" s="20">
        <f t="shared" si="85"/>
        <v>1065</v>
      </c>
      <c r="M528" s="20">
        <v>195</v>
      </c>
      <c r="N528" s="20">
        <v>456</v>
      </c>
      <c r="O528" s="20">
        <v>1063.5</v>
      </c>
      <c r="P528" s="20">
        <v>0</v>
      </c>
      <c r="Q528" s="19">
        <f t="shared" si="86"/>
        <v>886.5</v>
      </c>
      <c r="R528" s="19">
        <f t="shared" si="87"/>
        <v>911.5</v>
      </c>
      <c r="S528" s="19">
        <f t="shared" si="88"/>
        <v>2323.5</v>
      </c>
      <c r="T528" s="19">
        <f t="shared" si="89"/>
        <v>14088.5</v>
      </c>
      <c r="U528" s="22" t="s">
        <v>30</v>
      </c>
    </row>
    <row r="529" spans="1:21" ht="15.75" customHeight="1">
      <c r="A529" s="17">
        <v>514</v>
      </c>
      <c r="B529" s="21" t="s">
        <v>624</v>
      </c>
      <c r="C529" s="21" t="s">
        <v>88</v>
      </c>
      <c r="D529" s="21" t="s">
        <v>61</v>
      </c>
      <c r="E529" s="22" t="s">
        <v>29</v>
      </c>
      <c r="F529" s="19">
        <v>15000</v>
      </c>
      <c r="G529" s="20">
        <v>0</v>
      </c>
      <c r="H529" s="20">
        <v>25</v>
      </c>
      <c r="I529" s="20">
        <v>0</v>
      </c>
      <c r="J529" s="20">
        <v>0</v>
      </c>
      <c r="K529" s="20">
        <f t="shared" si="84"/>
        <v>430.5</v>
      </c>
      <c r="L529" s="20">
        <f t="shared" si="85"/>
        <v>1065</v>
      </c>
      <c r="M529" s="20">
        <v>195</v>
      </c>
      <c r="N529" s="20">
        <v>456</v>
      </c>
      <c r="O529" s="20">
        <v>1063.5</v>
      </c>
      <c r="P529" s="20">
        <v>0</v>
      </c>
      <c r="Q529" s="19">
        <f t="shared" si="86"/>
        <v>886.5</v>
      </c>
      <c r="R529" s="19">
        <f t="shared" si="87"/>
        <v>911.5</v>
      </c>
      <c r="S529" s="19">
        <f t="shared" si="88"/>
        <v>2323.5</v>
      </c>
      <c r="T529" s="19">
        <f t="shared" si="89"/>
        <v>14088.5</v>
      </c>
      <c r="U529" s="22" t="s">
        <v>30</v>
      </c>
    </row>
    <row r="530" spans="1:21" ht="15.75" customHeight="1">
      <c r="A530" s="21">
        <v>515</v>
      </c>
      <c r="B530" s="21" t="s">
        <v>625</v>
      </c>
      <c r="C530" s="21" t="s">
        <v>63</v>
      </c>
      <c r="D530" s="21" t="s">
        <v>98</v>
      </c>
      <c r="E530" s="22" t="s">
        <v>29</v>
      </c>
      <c r="F530" s="19">
        <v>20000</v>
      </c>
      <c r="G530" s="20">
        <v>0</v>
      </c>
      <c r="H530" s="20">
        <v>25</v>
      </c>
      <c r="I530" s="20">
        <v>0</v>
      </c>
      <c r="J530" s="20">
        <v>0</v>
      </c>
      <c r="K530" s="20">
        <f t="shared" si="84"/>
        <v>574</v>
      </c>
      <c r="L530" s="20">
        <f t="shared" si="85"/>
        <v>1419.9999999999998</v>
      </c>
      <c r="M530" s="20">
        <v>260</v>
      </c>
      <c r="N530" s="20">
        <v>608</v>
      </c>
      <c r="O530" s="20">
        <v>1418</v>
      </c>
      <c r="P530" s="20">
        <v>0</v>
      </c>
      <c r="Q530" s="19">
        <f t="shared" si="86"/>
        <v>1182</v>
      </c>
      <c r="R530" s="19">
        <f t="shared" si="87"/>
        <v>1207</v>
      </c>
      <c r="S530" s="19">
        <f t="shared" si="88"/>
        <v>3098</v>
      </c>
      <c r="T530" s="19">
        <f t="shared" si="89"/>
        <v>18793</v>
      </c>
      <c r="U530" s="22" t="s">
        <v>30</v>
      </c>
    </row>
    <row r="531" spans="1:21" ht="15.75" customHeight="1">
      <c r="A531" s="21">
        <v>516</v>
      </c>
      <c r="B531" s="21" t="s">
        <v>626</v>
      </c>
      <c r="C531" s="21" t="s">
        <v>355</v>
      </c>
      <c r="D531" s="21" t="s">
        <v>78</v>
      </c>
      <c r="E531" s="22" t="s">
        <v>29</v>
      </c>
      <c r="F531" s="19">
        <v>10000</v>
      </c>
      <c r="G531" s="20">
        <v>0</v>
      </c>
      <c r="H531" s="20">
        <v>25</v>
      </c>
      <c r="I531" s="20">
        <v>0</v>
      </c>
      <c r="J531" s="20">
        <v>0</v>
      </c>
      <c r="K531" s="20">
        <f t="shared" si="84"/>
        <v>287</v>
      </c>
      <c r="L531" s="20">
        <f t="shared" si="85"/>
        <v>709.99999999999989</v>
      </c>
      <c r="M531" s="20">
        <v>130</v>
      </c>
      <c r="N531" s="20">
        <v>304</v>
      </c>
      <c r="O531" s="20">
        <v>709</v>
      </c>
      <c r="P531" s="20">
        <v>0</v>
      </c>
      <c r="Q531" s="19">
        <f t="shared" si="86"/>
        <v>591</v>
      </c>
      <c r="R531" s="19">
        <f t="shared" si="87"/>
        <v>616</v>
      </c>
      <c r="S531" s="19">
        <f t="shared" si="88"/>
        <v>1549</v>
      </c>
      <c r="T531" s="19">
        <f t="shared" si="89"/>
        <v>9384</v>
      </c>
      <c r="U531" s="22" t="s">
        <v>30</v>
      </c>
    </row>
    <row r="532" spans="1:21" ht="15.75" customHeight="1">
      <c r="A532" s="17">
        <v>517</v>
      </c>
      <c r="B532" s="21" t="s">
        <v>627</v>
      </c>
      <c r="C532" s="21" t="s">
        <v>60</v>
      </c>
      <c r="D532" s="21" t="s">
        <v>58</v>
      </c>
      <c r="E532" s="22" t="s">
        <v>29</v>
      </c>
      <c r="F532" s="19">
        <v>30000</v>
      </c>
      <c r="G532" s="20">
        <v>0</v>
      </c>
      <c r="H532" s="20">
        <v>25</v>
      </c>
      <c r="I532" s="20">
        <v>0</v>
      </c>
      <c r="J532" s="20">
        <f>1000+300</f>
        <v>1300</v>
      </c>
      <c r="K532" s="20">
        <f t="shared" si="84"/>
        <v>861</v>
      </c>
      <c r="L532" s="20">
        <f t="shared" si="85"/>
        <v>2130</v>
      </c>
      <c r="M532" s="20">
        <v>390</v>
      </c>
      <c r="N532" s="20">
        <v>912</v>
      </c>
      <c r="O532" s="20">
        <v>2127</v>
      </c>
      <c r="P532" s="20">
        <v>1587.38</v>
      </c>
      <c r="Q532" s="19">
        <f t="shared" si="86"/>
        <v>1773</v>
      </c>
      <c r="R532" s="19">
        <f t="shared" si="87"/>
        <v>4685.38</v>
      </c>
      <c r="S532" s="19">
        <f t="shared" si="88"/>
        <v>4647</v>
      </c>
      <c r="T532" s="19">
        <f t="shared" si="89"/>
        <v>25314.62</v>
      </c>
      <c r="U532" s="22" t="s">
        <v>30</v>
      </c>
    </row>
    <row r="533" spans="1:21" ht="15.75" customHeight="1">
      <c r="A533" s="21">
        <v>518</v>
      </c>
      <c r="B533" s="21" t="s">
        <v>628</v>
      </c>
      <c r="C533" s="21" t="s">
        <v>68</v>
      </c>
      <c r="D533" s="21" t="s">
        <v>41</v>
      </c>
      <c r="E533" s="22" t="s">
        <v>29</v>
      </c>
      <c r="F533" s="19">
        <v>30000</v>
      </c>
      <c r="G533" s="20">
        <v>0</v>
      </c>
      <c r="H533" s="20">
        <v>25</v>
      </c>
      <c r="I533" s="20">
        <v>0</v>
      </c>
      <c r="J533" s="20">
        <v>0</v>
      </c>
      <c r="K533" s="20">
        <f t="shared" si="84"/>
        <v>861</v>
      </c>
      <c r="L533" s="20">
        <f t="shared" si="85"/>
        <v>2130</v>
      </c>
      <c r="M533" s="20">
        <v>390</v>
      </c>
      <c r="N533" s="20">
        <v>912</v>
      </c>
      <c r="O533" s="20">
        <v>2127</v>
      </c>
      <c r="P533" s="20">
        <v>0</v>
      </c>
      <c r="Q533" s="19">
        <f t="shared" si="86"/>
        <v>1773</v>
      </c>
      <c r="R533" s="19">
        <f t="shared" si="87"/>
        <v>1798</v>
      </c>
      <c r="S533" s="19">
        <f t="shared" si="88"/>
        <v>4647</v>
      </c>
      <c r="T533" s="19">
        <f t="shared" si="89"/>
        <v>28202</v>
      </c>
      <c r="U533" s="22" t="s">
        <v>30</v>
      </c>
    </row>
    <row r="534" spans="1:21" ht="15.75" customHeight="1">
      <c r="A534" s="21">
        <v>519</v>
      </c>
      <c r="B534" s="21" t="s">
        <v>629</v>
      </c>
      <c r="C534" s="21" t="s">
        <v>57</v>
      </c>
      <c r="D534" s="21" t="s">
        <v>58</v>
      </c>
      <c r="E534" s="22" t="s">
        <v>29</v>
      </c>
      <c r="F534" s="19">
        <v>15000</v>
      </c>
      <c r="G534" s="20">
        <v>0</v>
      </c>
      <c r="H534" s="20">
        <v>25</v>
      </c>
      <c r="I534" s="20">
        <v>0</v>
      </c>
      <c r="J534" s="20">
        <v>0</v>
      </c>
      <c r="K534" s="20">
        <f t="shared" si="84"/>
        <v>430.5</v>
      </c>
      <c r="L534" s="20">
        <f t="shared" si="85"/>
        <v>1065</v>
      </c>
      <c r="M534" s="20">
        <v>195</v>
      </c>
      <c r="N534" s="20">
        <v>456</v>
      </c>
      <c r="O534" s="20">
        <v>1063.5</v>
      </c>
      <c r="P534" s="20">
        <v>0</v>
      </c>
      <c r="Q534" s="19">
        <f t="shared" si="86"/>
        <v>886.5</v>
      </c>
      <c r="R534" s="19">
        <f t="shared" si="87"/>
        <v>911.5</v>
      </c>
      <c r="S534" s="19">
        <f t="shared" si="88"/>
        <v>2323.5</v>
      </c>
      <c r="T534" s="19">
        <f t="shared" si="89"/>
        <v>14088.5</v>
      </c>
      <c r="U534" s="22" t="s">
        <v>30</v>
      </c>
    </row>
    <row r="535" spans="1:21" ht="15.75" customHeight="1">
      <c r="A535" s="17">
        <v>520</v>
      </c>
      <c r="B535" s="21" t="s">
        <v>630</v>
      </c>
      <c r="C535" s="21" t="s">
        <v>355</v>
      </c>
      <c r="D535" s="21" t="s">
        <v>78</v>
      </c>
      <c r="E535" s="22" t="s">
        <v>29</v>
      </c>
      <c r="F535" s="19">
        <v>10000</v>
      </c>
      <c r="G535" s="20">
        <v>0</v>
      </c>
      <c r="H535" s="20">
        <v>25</v>
      </c>
      <c r="I535" s="20">
        <v>0</v>
      </c>
      <c r="J535" s="20">
        <v>0</v>
      </c>
      <c r="K535" s="20">
        <f t="shared" si="84"/>
        <v>287</v>
      </c>
      <c r="L535" s="20">
        <f t="shared" si="85"/>
        <v>709.99999999999989</v>
      </c>
      <c r="M535" s="20">
        <v>130</v>
      </c>
      <c r="N535" s="20">
        <v>304</v>
      </c>
      <c r="O535" s="20">
        <v>709</v>
      </c>
      <c r="P535" s="20">
        <v>0</v>
      </c>
      <c r="Q535" s="19">
        <f t="shared" si="86"/>
        <v>591</v>
      </c>
      <c r="R535" s="19">
        <f t="shared" si="87"/>
        <v>616</v>
      </c>
      <c r="S535" s="19">
        <f t="shared" si="88"/>
        <v>1549</v>
      </c>
      <c r="T535" s="19">
        <f t="shared" si="89"/>
        <v>9384</v>
      </c>
      <c r="U535" s="22" t="s">
        <v>30</v>
      </c>
    </row>
    <row r="536" spans="1:21" ht="15.75" customHeight="1">
      <c r="A536" s="21">
        <v>521</v>
      </c>
      <c r="B536" s="21" t="s">
        <v>631</v>
      </c>
      <c r="C536" s="21" t="s">
        <v>48</v>
      </c>
      <c r="D536" s="21" t="s">
        <v>52</v>
      </c>
      <c r="E536" s="22" t="s">
        <v>29</v>
      </c>
      <c r="F536" s="19">
        <v>30000</v>
      </c>
      <c r="G536" s="20">
        <v>0</v>
      </c>
      <c r="H536" s="20">
        <v>25</v>
      </c>
      <c r="I536" s="20">
        <v>0</v>
      </c>
      <c r="J536" s="20">
        <v>0</v>
      </c>
      <c r="K536" s="20">
        <f t="shared" si="84"/>
        <v>861</v>
      </c>
      <c r="L536" s="20">
        <f t="shared" si="85"/>
        <v>2130</v>
      </c>
      <c r="M536" s="20">
        <v>390</v>
      </c>
      <c r="N536" s="20">
        <v>912</v>
      </c>
      <c r="O536" s="20">
        <v>2127</v>
      </c>
      <c r="P536" s="20">
        <v>0</v>
      </c>
      <c r="Q536" s="19">
        <f t="shared" si="86"/>
        <v>1773</v>
      </c>
      <c r="R536" s="19">
        <f t="shared" si="87"/>
        <v>1798</v>
      </c>
      <c r="S536" s="19">
        <f t="shared" si="88"/>
        <v>4647</v>
      </c>
      <c r="T536" s="19">
        <f t="shared" si="89"/>
        <v>28202</v>
      </c>
      <c r="U536" s="22" t="s">
        <v>36</v>
      </c>
    </row>
    <row r="537" spans="1:21" ht="15.75" customHeight="1">
      <c r="A537" s="21">
        <v>522</v>
      </c>
      <c r="B537" s="21" t="s">
        <v>632</v>
      </c>
      <c r="C537" s="21" t="s">
        <v>77</v>
      </c>
      <c r="D537" s="21" t="s">
        <v>58</v>
      </c>
      <c r="E537" s="22" t="s">
        <v>302</v>
      </c>
      <c r="F537" s="19">
        <v>10000</v>
      </c>
      <c r="G537" s="20">
        <v>0</v>
      </c>
      <c r="H537" s="20">
        <v>25</v>
      </c>
      <c r="I537" s="20">
        <v>0</v>
      </c>
      <c r="J537" s="20">
        <v>0</v>
      </c>
      <c r="K537" s="20">
        <f t="shared" si="84"/>
        <v>287</v>
      </c>
      <c r="L537" s="20">
        <f t="shared" si="85"/>
        <v>709.99999999999989</v>
      </c>
      <c r="M537" s="20">
        <v>130</v>
      </c>
      <c r="N537" s="20">
        <v>304</v>
      </c>
      <c r="O537" s="20">
        <v>709</v>
      </c>
      <c r="P537" s="20">
        <v>0</v>
      </c>
      <c r="Q537" s="19">
        <f t="shared" si="86"/>
        <v>591</v>
      </c>
      <c r="R537" s="19">
        <f t="shared" si="87"/>
        <v>616</v>
      </c>
      <c r="S537" s="19">
        <f t="shared" si="88"/>
        <v>1549</v>
      </c>
      <c r="T537" s="19">
        <f t="shared" si="89"/>
        <v>9384</v>
      </c>
      <c r="U537" s="22" t="s">
        <v>30</v>
      </c>
    </row>
    <row r="538" spans="1:21" ht="15.75" customHeight="1">
      <c r="A538" s="17">
        <v>523</v>
      </c>
      <c r="B538" s="21" t="s">
        <v>633</v>
      </c>
      <c r="C538" s="21" t="s">
        <v>634</v>
      </c>
      <c r="D538" s="21" t="s">
        <v>568</v>
      </c>
      <c r="E538" s="22" t="s">
        <v>29</v>
      </c>
      <c r="F538" s="19">
        <v>50000</v>
      </c>
      <c r="G538" s="20">
        <v>1615.89</v>
      </c>
      <c r="H538" s="20">
        <v>25</v>
      </c>
      <c r="I538" s="20">
        <v>0</v>
      </c>
      <c r="J538" s="20">
        <f>300+2112.23</f>
        <v>2412.23</v>
      </c>
      <c r="K538" s="20">
        <f t="shared" si="84"/>
        <v>1435</v>
      </c>
      <c r="L538" s="20">
        <f t="shared" si="85"/>
        <v>3549.9999999999995</v>
      </c>
      <c r="M538" s="20">
        <v>650</v>
      </c>
      <c r="N538" s="20">
        <v>1520</v>
      </c>
      <c r="O538" s="20">
        <v>3545.0000000000005</v>
      </c>
      <c r="P538" s="19">
        <v>1587.38</v>
      </c>
      <c r="Q538" s="19">
        <f t="shared" si="86"/>
        <v>2955</v>
      </c>
      <c r="R538" s="19">
        <f t="shared" si="87"/>
        <v>8595.5</v>
      </c>
      <c r="S538" s="19">
        <f t="shared" si="88"/>
        <v>7745</v>
      </c>
      <c r="T538" s="19">
        <f t="shared" si="89"/>
        <v>41404.5</v>
      </c>
      <c r="U538" s="22" t="s">
        <v>30</v>
      </c>
    </row>
    <row r="539" spans="1:21" ht="15.75" customHeight="1">
      <c r="A539" s="21">
        <v>524</v>
      </c>
      <c r="B539" s="21" t="s">
        <v>635</v>
      </c>
      <c r="C539" s="21" t="s">
        <v>171</v>
      </c>
      <c r="D539" s="21" t="s">
        <v>28</v>
      </c>
      <c r="E539" s="22" t="s">
        <v>302</v>
      </c>
      <c r="F539" s="19">
        <v>10000</v>
      </c>
      <c r="G539" s="20">
        <v>0</v>
      </c>
      <c r="H539" s="20">
        <v>25</v>
      </c>
      <c r="I539" s="20">
        <v>0</v>
      </c>
      <c r="J539" s="20">
        <v>0</v>
      </c>
      <c r="K539" s="20">
        <f t="shared" si="84"/>
        <v>287</v>
      </c>
      <c r="L539" s="20">
        <f t="shared" si="85"/>
        <v>709.99999999999989</v>
      </c>
      <c r="M539" s="20">
        <v>130</v>
      </c>
      <c r="N539" s="20">
        <v>304</v>
      </c>
      <c r="O539" s="20">
        <v>709</v>
      </c>
      <c r="P539" s="20">
        <v>0</v>
      </c>
      <c r="Q539" s="19">
        <f t="shared" si="86"/>
        <v>591</v>
      </c>
      <c r="R539" s="19">
        <f t="shared" si="87"/>
        <v>616</v>
      </c>
      <c r="S539" s="19">
        <f t="shared" si="88"/>
        <v>1549</v>
      </c>
      <c r="T539" s="19">
        <f t="shared" si="89"/>
        <v>9384</v>
      </c>
      <c r="U539" s="22" t="s">
        <v>30</v>
      </c>
    </row>
    <row r="540" spans="1:21" ht="15.75" customHeight="1">
      <c r="A540" s="21">
        <v>525</v>
      </c>
      <c r="B540" s="21" t="s">
        <v>636</v>
      </c>
      <c r="C540" s="21" t="s">
        <v>88</v>
      </c>
      <c r="D540" s="21" t="s">
        <v>61</v>
      </c>
      <c r="E540" s="22" t="s">
        <v>29</v>
      </c>
      <c r="F540" s="19">
        <v>15000</v>
      </c>
      <c r="G540" s="20">
        <v>0</v>
      </c>
      <c r="H540" s="20">
        <v>25</v>
      </c>
      <c r="I540" s="20">
        <v>0</v>
      </c>
      <c r="J540" s="20">
        <v>0</v>
      </c>
      <c r="K540" s="20">
        <f t="shared" si="84"/>
        <v>430.5</v>
      </c>
      <c r="L540" s="20">
        <f t="shared" si="85"/>
        <v>1065</v>
      </c>
      <c r="M540" s="20">
        <v>195</v>
      </c>
      <c r="N540" s="20">
        <v>456</v>
      </c>
      <c r="O540" s="20">
        <v>1063.5</v>
      </c>
      <c r="P540" s="20">
        <v>0</v>
      </c>
      <c r="Q540" s="19">
        <f t="shared" si="86"/>
        <v>886.5</v>
      </c>
      <c r="R540" s="19">
        <f t="shared" si="87"/>
        <v>911.5</v>
      </c>
      <c r="S540" s="19">
        <f t="shared" si="88"/>
        <v>2323.5</v>
      </c>
      <c r="T540" s="19">
        <f t="shared" si="89"/>
        <v>14088.5</v>
      </c>
      <c r="U540" s="22" t="s">
        <v>30</v>
      </c>
    </row>
    <row r="541" spans="1:21" ht="15.75" customHeight="1">
      <c r="A541" s="17">
        <v>526</v>
      </c>
      <c r="B541" s="21" t="s">
        <v>637</v>
      </c>
      <c r="C541" s="21" t="s">
        <v>68</v>
      </c>
      <c r="D541" s="21" t="s">
        <v>81</v>
      </c>
      <c r="E541" s="22" t="s">
        <v>29</v>
      </c>
      <c r="F541" s="19">
        <v>25000</v>
      </c>
      <c r="G541" s="20">
        <v>0</v>
      </c>
      <c r="H541" s="20">
        <v>25</v>
      </c>
      <c r="I541" s="20">
        <v>0</v>
      </c>
      <c r="J541" s="20">
        <v>0</v>
      </c>
      <c r="K541" s="20">
        <f t="shared" si="84"/>
        <v>717.5</v>
      </c>
      <c r="L541" s="20">
        <f t="shared" si="85"/>
        <v>1774.9999999999998</v>
      </c>
      <c r="M541" s="20">
        <v>325</v>
      </c>
      <c r="N541" s="20">
        <v>760</v>
      </c>
      <c r="O541" s="20">
        <v>1772.5000000000002</v>
      </c>
      <c r="P541" s="20">
        <v>0</v>
      </c>
      <c r="Q541" s="19">
        <f t="shared" si="86"/>
        <v>1477.5</v>
      </c>
      <c r="R541" s="19">
        <f t="shared" si="87"/>
        <v>1502.5</v>
      </c>
      <c r="S541" s="19">
        <f t="shared" si="88"/>
        <v>3872.5</v>
      </c>
      <c r="T541" s="19">
        <f t="shared" si="89"/>
        <v>23497.5</v>
      </c>
      <c r="U541" s="22" t="s">
        <v>30</v>
      </c>
    </row>
    <row r="542" spans="1:21" ht="15.75" customHeight="1">
      <c r="A542" s="21">
        <v>527</v>
      </c>
      <c r="B542" s="21" t="s">
        <v>638</v>
      </c>
      <c r="C542" s="21" t="s">
        <v>88</v>
      </c>
      <c r="D542" s="21" t="s">
        <v>58</v>
      </c>
      <c r="E542" s="22" t="s">
        <v>29</v>
      </c>
      <c r="F542" s="19">
        <v>12000</v>
      </c>
      <c r="G542" s="20">
        <v>0</v>
      </c>
      <c r="H542" s="20">
        <v>25</v>
      </c>
      <c r="I542" s="20">
        <v>0</v>
      </c>
      <c r="J542" s="20">
        <f>500+500+1556.53</f>
        <v>2556.5299999999997</v>
      </c>
      <c r="K542" s="20">
        <f t="shared" si="84"/>
        <v>344.4</v>
      </c>
      <c r="L542" s="20">
        <f t="shared" si="85"/>
        <v>851.99999999999989</v>
      </c>
      <c r="M542" s="20">
        <v>156</v>
      </c>
      <c r="N542" s="20">
        <v>364.8</v>
      </c>
      <c r="O542" s="20">
        <v>850.80000000000007</v>
      </c>
      <c r="P542" s="20">
        <v>0</v>
      </c>
      <c r="Q542" s="19">
        <f t="shared" si="86"/>
        <v>709.2</v>
      </c>
      <c r="R542" s="19">
        <f t="shared" si="87"/>
        <v>3290.73</v>
      </c>
      <c r="S542" s="19">
        <f t="shared" si="88"/>
        <v>1858.8</v>
      </c>
      <c r="T542" s="19">
        <f t="shared" si="89"/>
        <v>8709.27</v>
      </c>
      <c r="U542" s="22" t="s">
        <v>36</v>
      </c>
    </row>
    <row r="543" spans="1:21" ht="15.75" customHeight="1">
      <c r="A543" s="21">
        <v>528</v>
      </c>
      <c r="B543" s="21" t="s">
        <v>639</v>
      </c>
      <c r="C543" s="21" t="s">
        <v>196</v>
      </c>
      <c r="D543" s="21" t="s">
        <v>72</v>
      </c>
      <c r="E543" s="22" t="s">
        <v>29</v>
      </c>
      <c r="F543" s="19">
        <v>15000</v>
      </c>
      <c r="G543" s="20">
        <v>0</v>
      </c>
      <c r="H543" s="20">
        <v>25</v>
      </c>
      <c r="I543" s="20">
        <v>0</v>
      </c>
      <c r="J543" s="20">
        <v>0</v>
      </c>
      <c r="K543" s="20">
        <f t="shared" si="84"/>
        <v>430.5</v>
      </c>
      <c r="L543" s="20">
        <f t="shared" si="85"/>
        <v>1065</v>
      </c>
      <c r="M543" s="20">
        <v>195</v>
      </c>
      <c r="N543" s="20">
        <v>456</v>
      </c>
      <c r="O543" s="20">
        <v>1063.5</v>
      </c>
      <c r="P543" s="20">
        <v>0</v>
      </c>
      <c r="Q543" s="19">
        <f t="shared" si="86"/>
        <v>886.5</v>
      </c>
      <c r="R543" s="19">
        <f t="shared" si="87"/>
        <v>911.5</v>
      </c>
      <c r="S543" s="19">
        <f t="shared" si="88"/>
        <v>2323.5</v>
      </c>
      <c r="T543" s="19">
        <f t="shared" si="89"/>
        <v>14088.5</v>
      </c>
      <c r="U543" s="22" t="s">
        <v>36</v>
      </c>
    </row>
    <row r="544" spans="1:21" ht="15.75" customHeight="1">
      <c r="A544" s="17">
        <v>529</v>
      </c>
      <c r="B544" s="21" t="s">
        <v>640</v>
      </c>
      <c r="C544" s="21" t="s">
        <v>68</v>
      </c>
      <c r="D544" s="21" t="s">
        <v>98</v>
      </c>
      <c r="E544" s="22" t="s">
        <v>29</v>
      </c>
      <c r="F544" s="19">
        <v>30000</v>
      </c>
      <c r="G544" s="20">
        <v>0</v>
      </c>
      <c r="H544" s="20">
        <v>25</v>
      </c>
      <c r="I544" s="20">
        <v>0</v>
      </c>
      <c r="J544" s="20">
        <v>0</v>
      </c>
      <c r="K544" s="20">
        <f t="shared" si="84"/>
        <v>861</v>
      </c>
      <c r="L544" s="20">
        <f t="shared" si="85"/>
        <v>2130</v>
      </c>
      <c r="M544" s="20">
        <v>390</v>
      </c>
      <c r="N544" s="20">
        <v>912</v>
      </c>
      <c r="O544" s="20">
        <v>2127</v>
      </c>
      <c r="P544" s="20">
        <v>0</v>
      </c>
      <c r="Q544" s="19">
        <f t="shared" si="86"/>
        <v>1773</v>
      </c>
      <c r="R544" s="19">
        <f t="shared" si="87"/>
        <v>1798</v>
      </c>
      <c r="S544" s="19">
        <f t="shared" si="88"/>
        <v>4647</v>
      </c>
      <c r="T544" s="19">
        <f t="shared" si="89"/>
        <v>28202</v>
      </c>
      <c r="U544" s="22" t="s">
        <v>36</v>
      </c>
    </row>
    <row r="545" spans="1:21" ht="15.75" customHeight="1">
      <c r="A545" s="21">
        <v>530</v>
      </c>
      <c r="B545" s="21" t="s">
        <v>641</v>
      </c>
      <c r="C545" s="21" t="s">
        <v>68</v>
      </c>
      <c r="D545" s="21" t="s">
        <v>81</v>
      </c>
      <c r="E545" s="22" t="s">
        <v>29</v>
      </c>
      <c r="F545" s="19">
        <v>20000</v>
      </c>
      <c r="G545" s="20">
        <v>0</v>
      </c>
      <c r="H545" s="20">
        <v>25</v>
      </c>
      <c r="I545" s="20">
        <v>0</v>
      </c>
      <c r="J545" s="20">
        <f>500+300</f>
        <v>800</v>
      </c>
      <c r="K545" s="20">
        <f t="shared" si="84"/>
        <v>574</v>
      </c>
      <c r="L545" s="20">
        <f t="shared" si="85"/>
        <v>1419.9999999999998</v>
      </c>
      <c r="M545" s="20">
        <v>260</v>
      </c>
      <c r="N545" s="20">
        <v>608</v>
      </c>
      <c r="O545" s="20">
        <v>1418</v>
      </c>
      <c r="P545" s="19">
        <v>1587.38</v>
      </c>
      <c r="Q545" s="19">
        <f t="shared" si="86"/>
        <v>1182</v>
      </c>
      <c r="R545" s="19">
        <f t="shared" si="87"/>
        <v>3594.38</v>
      </c>
      <c r="S545" s="19">
        <f t="shared" si="88"/>
        <v>3098</v>
      </c>
      <c r="T545" s="19">
        <f t="shared" si="89"/>
        <v>16405.62</v>
      </c>
      <c r="U545" s="22" t="s">
        <v>36</v>
      </c>
    </row>
    <row r="546" spans="1:21" ht="15.75" customHeight="1">
      <c r="A546" s="21">
        <v>531</v>
      </c>
      <c r="B546" s="21" t="s">
        <v>642</v>
      </c>
      <c r="C546" s="21" t="s">
        <v>68</v>
      </c>
      <c r="D546" s="21" t="s">
        <v>55</v>
      </c>
      <c r="E546" s="22" t="s">
        <v>29</v>
      </c>
      <c r="F546" s="19">
        <v>25000</v>
      </c>
      <c r="G546" s="20">
        <v>0</v>
      </c>
      <c r="H546" s="20">
        <v>25</v>
      </c>
      <c r="I546" s="20">
        <v>0</v>
      </c>
      <c r="J546" s="20">
        <v>0</v>
      </c>
      <c r="K546" s="20">
        <f t="shared" si="84"/>
        <v>717.5</v>
      </c>
      <c r="L546" s="20">
        <f t="shared" si="85"/>
        <v>1774.9999999999998</v>
      </c>
      <c r="M546" s="20">
        <v>325</v>
      </c>
      <c r="N546" s="20">
        <v>760</v>
      </c>
      <c r="O546" s="20">
        <v>1772.5000000000002</v>
      </c>
      <c r="P546" s="20">
        <v>0</v>
      </c>
      <c r="Q546" s="19">
        <f t="shared" si="86"/>
        <v>1477.5</v>
      </c>
      <c r="R546" s="19">
        <f t="shared" si="87"/>
        <v>1502.5</v>
      </c>
      <c r="S546" s="19">
        <f t="shared" si="88"/>
        <v>3872.5</v>
      </c>
      <c r="T546" s="19">
        <f t="shared" si="89"/>
        <v>23497.5</v>
      </c>
      <c r="U546" s="22" t="s">
        <v>36</v>
      </c>
    </row>
    <row r="547" spans="1:21" ht="15.75" customHeight="1">
      <c r="A547" s="17">
        <v>532</v>
      </c>
      <c r="B547" s="21" t="s">
        <v>643</v>
      </c>
      <c r="C547" s="21" t="s">
        <v>68</v>
      </c>
      <c r="D547" s="21" t="s">
        <v>135</v>
      </c>
      <c r="E547" s="22" t="s">
        <v>29</v>
      </c>
      <c r="F547" s="19">
        <v>26000</v>
      </c>
      <c r="G547" s="20">
        <v>0</v>
      </c>
      <c r="H547" s="20">
        <v>25</v>
      </c>
      <c r="I547" s="20">
        <v>0</v>
      </c>
      <c r="J547" s="20">
        <v>0</v>
      </c>
      <c r="K547" s="20">
        <f t="shared" si="84"/>
        <v>746.2</v>
      </c>
      <c r="L547" s="20">
        <f t="shared" si="85"/>
        <v>1845.9999999999998</v>
      </c>
      <c r="M547" s="20">
        <v>338</v>
      </c>
      <c r="N547" s="20">
        <v>790.4</v>
      </c>
      <c r="O547" s="20">
        <v>1843.4</v>
      </c>
      <c r="P547" s="20">
        <v>0</v>
      </c>
      <c r="Q547" s="19">
        <f t="shared" si="86"/>
        <v>1536.6</v>
      </c>
      <c r="R547" s="19">
        <f t="shared" si="87"/>
        <v>1561.6</v>
      </c>
      <c r="S547" s="19">
        <f t="shared" si="88"/>
        <v>4027.4</v>
      </c>
      <c r="T547" s="19">
        <f t="shared" si="89"/>
        <v>24438.400000000001</v>
      </c>
      <c r="U547" s="22" t="s">
        <v>36</v>
      </c>
    </row>
    <row r="548" spans="1:21" ht="15.75" customHeight="1">
      <c r="A548" s="21">
        <v>533</v>
      </c>
      <c r="B548" s="21" t="s">
        <v>644</v>
      </c>
      <c r="C548" s="21" t="s">
        <v>645</v>
      </c>
      <c r="D548" s="21" t="s">
        <v>28</v>
      </c>
      <c r="E548" s="22" t="s">
        <v>302</v>
      </c>
      <c r="F548" s="19">
        <v>55000</v>
      </c>
      <c r="G548" s="20">
        <v>2559.6799999999998</v>
      </c>
      <c r="H548" s="20">
        <v>25</v>
      </c>
      <c r="I548" s="20">
        <v>0</v>
      </c>
      <c r="J548" s="20">
        <v>0</v>
      </c>
      <c r="K548" s="20">
        <f t="shared" si="84"/>
        <v>1578.5</v>
      </c>
      <c r="L548" s="20">
        <f t="shared" si="85"/>
        <v>3904.9999999999995</v>
      </c>
      <c r="M548" s="20">
        <v>715</v>
      </c>
      <c r="N548" s="20">
        <v>1672</v>
      </c>
      <c r="O548" s="20">
        <v>3899.5000000000005</v>
      </c>
      <c r="P548" s="20">
        <v>0</v>
      </c>
      <c r="Q548" s="19">
        <f t="shared" si="86"/>
        <v>3250.5</v>
      </c>
      <c r="R548" s="19">
        <f t="shared" si="87"/>
        <v>5835.18</v>
      </c>
      <c r="S548" s="19">
        <f t="shared" si="88"/>
        <v>8519.5</v>
      </c>
      <c r="T548" s="19">
        <f t="shared" si="89"/>
        <v>49164.82</v>
      </c>
      <c r="U548" s="22" t="s">
        <v>30</v>
      </c>
    </row>
    <row r="549" spans="1:21" ht="15.75" customHeight="1">
      <c r="A549" s="21">
        <v>534</v>
      </c>
      <c r="B549" s="21" t="s">
        <v>646</v>
      </c>
      <c r="C549" s="21" t="s">
        <v>71</v>
      </c>
      <c r="D549" s="21" t="s">
        <v>72</v>
      </c>
      <c r="E549" s="22" t="s">
        <v>29</v>
      </c>
      <c r="F549" s="19">
        <v>10000</v>
      </c>
      <c r="G549" s="20">
        <v>0</v>
      </c>
      <c r="H549" s="20">
        <v>25</v>
      </c>
      <c r="I549" s="20">
        <v>0</v>
      </c>
      <c r="J549" s="20">
        <v>0</v>
      </c>
      <c r="K549" s="20">
        <f t="shared" si="84"/>
        <v>287</v>
      </c>
      <c r="L549" s="20">
        <f t="shared" si="85"/>
        <v>709.99999999999989</v>
      </c>
      <c r="M549" s="20">
        <v>130</v>
      </c>
      <c r="N549" s="20">
        <v>304</v>
      </c>
      <c r="O549" s="20">
        <v>709</v>
      </c>
      <c r="P549" s="20">
        <v>0</v>
      </c>
      <c r="Q549" s="19">
        <f t="shared" si="86"/>
        <v>591</v>
      </c>
      <c r="R549" s="19">
        <f t="shared" si="87"/>
        <v>616</v>
      </c>
      <c r="S549" s="19">
        <f t="shared" si="88"/>
        <v>1549</v>
      </c>
      <c r="T549" s="19">
        <f t="shared" si="89"/>
        <v>9384</v>
      </c>
      <c r="U549" s="22" t="s">
        <v>36</v>
      </c>
    </row>
    <row r="550" spans="1:21" ht="15.75" customHeight="1">
      <c r="A550" s="17">
        <v>535</v>
      </c>
      <c r="B550" s="21" t="s">
        <v>647</v>
      </c>
      <c r="C550" s="21" t="s">
        <v>648</v>
      </c>
      <c r="D550" s="21" t="s">
        <v>72</v>
      </c>
      <c r="E550" s="22" t="s">
        <v>29</v>
      </c>
      <c r="F550" s="19">
        <v>15000</v>
      </c>
      <c r="G550" s="20">
        <v>0</v>
      </c>
      <c r="H550" s="20">
        <v>25</v>
      </c>
      <c r="I550" s="20">
        <v>0</v>
      </c>
      <c r="J550" s="20">
        <f>300+1000+3366.78</f>
        <v>4666.7800000000007</v>
      </c>
      <c r="K550" s="20">
        <f t="shared" si="84"/>
        <v>430.5</v>
      </c>
      <c r="L550" s="20">
        <f t="shared" si="85"/>
        <v>1065</v>
      </c>
      <c r="M550" s="20">
        <v>195</v>
      </c>
      <c r="N550" s="20">
        <v>456</v>
      </c>
      <c r="O550" s="20">
        <v>1063.5</v>
      </c>
      <c r="P550" s="20">
        <v>0</v>
      </c>
      <c r="Q550" s="19">
        <f t="shared" si="86"/>
        <v>886.5</v>
      </c>
      <c r="R550" s="19">
        <f t="shared" si="87"/>
        <v>5578.2800000000007</v>
      </c>
      <c r="S550" s="19">
        <f t="shared" si="88"/>
        <v>2323.5</v>
      </c>
      <c r="T550" s="19">
        <f t="shared" si="89"/>
        <v>9421.7199999999993</v>
      </c>
      <c r="U550" s="22" t="s">
        <v>36</v>
      </c>
    </row>
    <row r="551" spans="1:21" ht="15.75" customHeight="1">
      <c r="A551" s="21">
        <v>536</v>
      </c>
      <c r="B551" s="21" t="s">
        <v>649</v>
      </c>
      <c r="C551" s="21" t="s">
        <v>283</v>
      </c>
      <c r="D551" s="21" t="s">
        <v>61</v>
      </c>
      <c r="E551" s="22" t="s">
        <v>29</v>
      </c>
      <c r="F551" s="19">
        <v>25000</v>
      </c>
      <c r="G551" s="20">
        <v>0</v>
      </c>
      <c r="H551" s="20">
        <v>25</v>
      </c>
      <c r="I551" s="20">
        <v>0</v>
      </c>
      <c r="J551" s="20">
        <v>0</v>
      </c>
      <c r="K551" s="20">
        <f t="shared" si="84"/>
        <v>717.5</v>
      </c>
      <c r="L551" s="20">
        <f t="shared" si="85"/>
        <v>1774.9999999999998</v>
      </c>
      <c r="M551" s="20">
        <v>325</v>
      </c>
      <c r="N551" s="20">
        <v>760</v>
      </c>
      <c r="O551" s="20">
        <v>1772.5000000000002</v>
      </c>
      <c r="P551" s="20">
        <v>0</v>
      </c>
      <c r="Q551" s="19">
        <f t="shared" si="86"/>
        <v>1477.5</v>
      </c>
      <c r="R551" s="19">
        <f t="shared" si="87"/>
        <v>1502.5</v>
      </c>
      <c r="S551" s="19">
        <f t="shared" si="88"/>
        <v>3872.5</v>
      </c>
      <c r="T551" s="19">
        <f t="shared" si="89"/>
        <v>23497.5</v>
      </c>
      <c r="U551" s="22" t="s">
        <v>30</v>
      </c>
    </row>
    <row r="552" spans="1:21" ht="15.75" customHeight="1">
      <c r="A552" s="21">
        <v>537</v>
      </c>
      <c r="B552" s="21" t="s">
        <v>650</v>
      </c>
      <c r="C552" s="21" t="s">
        <v>66</v>
      </c>
      <c r="D552" s="21" t="s">
        <v>72</v>
      </c>
      <c r="E552" s="22" t="s">
        <v>29</v>
      </c>
      <c r="F552" s="19">
        <v>20000</v>
      </c>
      <c r="G552" s="20">
        <v>0</v>
      </c>
      <c r="H552" s="20">
        <v>25</v>
      </c>
      <c r="I552" s="20">
        <v>0</v>
      </c>
      <c r="J552" s="20">
        <v>0</v>
      </c>
      <c r="K552" s="20">
        <f t="shared" si="84"/>
        <v>574</v>
      </c>
      <c r="L552" s="20">
        <f t="shared" si="85"/>
        <v>1419.9999999999998</v>
      </c>
      <c r="M552" s="20">
        <v>260</v>
      </c>
      <c r="N552" s="20">
        <v>608</v>
      </c>
      <c r="O552" s="20">
        <v>1418</v>
      </c>
      <c r="P552" s="20">
        <v>0</v>
      </c>
      <c r="Q552" s="19">
        <f t="shared" si="86"/>
        <v>1182</v>
      </c>
      <c r="R552" s="19">
        <f t="shared" si="87"/>
        <v>1207</v>
      </c>
      <c r="S552" s="19">
        <f t="shared" si="88"/>
        <v>3098</v>
      </c>
      <c r="T552" s="19">
        <f t="shared" si="89"/>
        <v>18793</v>
      </c>
      <c r="U552" s="22" t="s">
        <v>30</v>
      </c>
    </row>
    <row r="553" spans="1:21" ht="15.75" customHeight="1">
      <c r="A553" s="17">
        <v>538</v>
      </c>
      <c r="B553" s="21" t="s">
        <v>651</v>
      </c>
      <c r="C553" s="21" t="s">
        <v>51</v>
      </c>
      <c r="D553" s="21" t="s">
        <v>52</v>
      </c>
      <c r="E553" s="22" t="s">
        <v>29</v>
      </c>
      <c r="F553" s="19">
        <v>10000</v>
      </c>
      <c r="G553" s="20">
        <v>0</v>
      </c>
      <c r="H553" s="20">
        <v>25</v>
      </c>
      <c r="I553" s="20">
        <v>0</v>
      </c>
      <c r="J553" s="20">
        <v>0</v>
      </c>
      <c r="K553" s="20">
        <f t="shared" si="84"/>
        <v>287</v>
      </c>
      <c r="L553" s="20">
        <f t="shared" si="85"/>
        <v>709.99999999999989</v>
      </c>
      <c r="M553" s="20">
        <v>130</v>
      </c>
      <c r="N553" s="20">
        <v>304</v>
      </c>
      <c r="O553" s="20">
        <v>709</v>
      </c>
      <c r="P553" s="20">
        <v>0</v>
      </c>
      <c r="Q553" s="19">
        <f t="shared" si="86"/>
        <v>591</v>
      </c>
      <c r="R553" s="19">
        <f t="shared" si="87"/>
        <v>616</v>
      </c>
      <c r="S553" s="19">
        <f t="shared" si="88"/>
        <v>1549</v>
      </c>
      <c r="T553" s="19">
        <f t="shared" si="89"/>
        <v>9384</v>
      </c>
      <c r="U553" s="22" t="s">
        <v>36</v>
      </c>
    </row>
    <row r="554" spans="1:21" ht="15.75" customHeight="1">
      <c r="A554" s="21">
        <v>539</v>
      </c>
      <c r="B554" s="21" t="s">
        <v>652</v>
      </c>
      <c r="C554" s="21" t="s">
        <v>48</v>
      </c>
      <c r="D554" s="21" t="s">
        <v>172</v>
      </c>
      <c r="E554" s="22" t="s">
        <v>29</v>
      </c>
      <c r="F554" s="19">
        <v>20000</v>
      </c>
      <c r="G554" s="20">
        <v>0</v>
      </c>
      <c r="H554" s="20">
        <v>25</v>
      </c>
      <c r="I554" s="20">
        <v>0</v>
      </c>
      <c r="J554" s="20">
        <v>0</v>
      </c>
      <c r="K554" s="20">
        <f t="shared" si="84"/>
        <v>574</v>
      </c>
      <c r="L554" s="20">
        <f t="shared" si="85"/>
        <v>1419.9999999999998</v>
      </c>
      <c r="M554" s="20">
        <v>260</v>
      </c>
      <c r="N554" s="20">
        <v>608</v>
      </c>
      <c r="O554" s="20">
        <v>1418</v>
      </c>
      <c r="P554" s="20">
        <v>0</v>
      </c>
      <c r="Q554" s="19">
        <f t="shared" si="86"/>
        <v>1182</v>
      </c>
      <c r="R554" s="19">
        <f t="shared" si="87"/>
        <v>1207</v>
      </c>
      <c r="S554" s="19">
        <f t="shared" si="88"/>
        <v>3098</v>
      </c>
      <c r="T554" s="19">
        <f t="shared" si="89"/>
        <v>18793</v>
      </c>
      <c r="U554" s="22" t="s">
        <v>36</v>
      </c>
    </row>
    <row r="555" spans="1:21" ht="15.75" customHeight="1">
      <c r="A555" s="21">
        <v>540</v>
      </c>
      <c r="B555" s="21" t="s">
        <v>653</v>
      </c>
      <c r="C555" s="21" t="s">
        <v>57</v>
      </c>
      <c r="D555" s="21" t="s">
        <v>58</v>
      </c>
      <c r="E555" s="22" t="s">
        <v>29</v>
      </c>
      <c r="F555" s="19">
        <v>15000</v>
      </c>
      <c r="G555" s="20">
        <v>0</v>
      </c>
      <c r="H555" s="20">
        <v>25</v>
      </c>
      <c r="I555" s="20">
        <v>0</v>
      </c>
      <c r="J555" s="20">
        <v>0</v>
      </c>
      <c r="K555" s="20">
        <f t="shared" si="84"/>
        <v>430.5</v>
      </c>
      <c r="L555" s="20">
        <f t="shared" si="85"/>
        <v>1065</v>
      </c>
      <c r="M555" s="20">
        <v>195</v>
      </c>
      <c r="N555" s="20">
        <v>456</v>
      </c>
      <c r="O555" s="20">
        <v>1063.5</v>
      </c>
      <c r="P555" s="20">
        <v>0</v>
      </c>
      <c r="Q555" s="19">
        <f t="shared" si="86"/>
        <v>886.5</v>
      </c>
      <c r="R555" s="19">
        <f t="shared" si="87"/>
        <v>911.5</v>
      </c>
      <c r="S555" s="19">
        <f t="shared" si="88"/>
        <v>2323.5</v>
      </c>
      <c r="T555" s="19">
        <f t="shared" si="89"/>
        <v>14088.5</v>
      </c>
      <c r="U555" s="22" t="s">
        <v>30</v>
      </c>
    </row>
    <row r="556" spans="1:21" ht="15.75" customHeight="1">
      <c r="A556" s="17">
        <v>541</v>
      </c>
      <c r="B556" s="21" t="s">
        <v>654</v>
      </c>
      <c r="C556" s="21" t="s">
        <v>60</v>
      </c>
      <c r="D556" s="21" t="s">
        <v>72</v>
      </c>
      <c r="E556" s="22" t="s">
        <v>29</v>
      </c>
      <c r="F556" s="19">
        <v>30000</v>
      </c>
      <c r="G556" s="20">
        <v>0</v>
      </c>
      <c r="H556" s="20">
        <v>25</v>
      </c>
      <c r="I556" s="20">
        <v>0</v>
      </c>
      <c r="J556" s="20">
        <v>0</v>
      </c>
      <c r="K556" s="20">
        <f t="shared" si="84"/>
        <v>861</v>
      </c>
      <c r="L556" s="20">
        <f t="shared" si="85"/>
        <v>2130</v>
      </c>
      <c r="M556" s="20">
        <v>390</v>
      </c>
      <c r="N556" s="20">
        <v>912</v>
      </c>
      <c r="O556" s="20">
        <v>2127</v>
      </c>
      <c r="P556" s="20">
        <v>0</v>
      </c>
      <c r="Q556" s="19">
        <f t="shared" si="86"/>
        <v>1773</v>
      </c>
      <c r="R556" s="19">
        <f t="shared" si="87"/>
        <v>1798</v>
      </c>
      <c r="S556" s="19">
        <f t="shared" si="88"/>
        <v>4647</v>
      </c>
      <c r="T556" s="19">
        <f t="shared" si="89"/>
        <v>28202</v>
      </c>
      <c r="U556" s="22" t="s">
        <v>30</v>
      </c>
    </row>
    <row r="557" spans="1:21" ht="15.75" customHeight="1">
      <c r="A557" s="21">
        <v>542</v>
      </c>
      <c r="B557" s="21" t="s">
        <v>655</v>
      </c>
      <c r="C557" s="21" t="s">
        <v>57</v>
      </c>
      <c r="D557" s="21" t="s">
        <v>58</v>
      </c>
      <c r="E557" s="22" t="s">
        <v>29</v>
      </c>
      <c r="F557" s="19">
        <v>15000</v>
      </c>
      <c r="G557" s="20">
        <v>0</v>
      </c>
      <c r="H557" s="20">
        <v>25</v>
      </c>
      <c r="I557" s="20">
        <v>0</v>
      </c>
      <c r="J557" s="20">
        <v>0</v>
      </c>
      <c r="K557" s="20">
        <f t="shared" si="84"/>
        <v>430.5</v>
      </c>
      <c r="L557" s="20">
        <f t="shared" si="85"/>
        <v>1065</v>
      </c>
      <c r="M557" s="20">
        <v>195</v>
      </c>
      <c r="N557" s="20">
        <v>456</v>
      </c>
      <c r="O557" s="20">
        <v>1063.5</v>
      </c>
      <c r="P557" s="20">
        <v>0</v>
      </c>
      <c r="Q557" s="19">
        <f t="shared" si="86"/>
        <v>886.5</v>
      </c>
      <c r="R557" s="19">
        <f t="shared" si="87"/>
        <v>911.5</v>
      </c>
      <c r="S557" s="19">
        <f t="shared" si="88"/>
        <v>2323.5</v>
      </c>
      <c r="T557" s="19">
        <f t="shared" si="89"/>
        <v>14088.5</v>
      </c>
      <c r="U557" s="22" t="s">
        <v>30</v>
      </c>
    </row>
    <row r="558" spans="1:21" ht="15.75" customHeight="1">
      <c r="A558" s="21">
        <v>543</v>
      </c>
      <c r="B558" s="21" t="s">
        <v>656</v>
      </c>
      <c r="C558" s="21" t="s">
        <v>88</v>
      </c>
      <c r="D558" s="21" t="s">
        <v>58</v>
      </c>
      <c r="E558" s="22" t="s">
        <v>29</v>
      </c>
      <c r="F558" s="19">
        <v>15000</v>
      </c>
      <c r="G558" s="20">
        <v>0</v>
      </c>
      <c r="H558" s="20">
        <v>25</v>
      </c>
      <c r="I558" s="20">
        <v>0</v>
      </c>
      <c r="J558" s="20">
        <v>0</v>
      </c>
      <c r="K558" s="20">
        <f t="shared" si="84"/>
        <v>430.5</v>
      </c>
      <c r="L558" s="20">
        <f t="shared" si="85"/>
        <v>1065</v>
      </c>
      <c r="M558" s="20">
        <v>195</v>
      </c>
      <c r="N558" s="20">
        <v>456</v>
      </c>
      <c r="O558" s="20">
        <v>1063.5</v>
      </c>
      <c r="P558" s="20">
        <v>0</v>
      </c>
      <c r="Q558" s="19">
        <f t="shared" si="86"/>
        <v>886.5</v>
      </c>
      <c r="R558" s="19">
        <f t="shared" si="87"/>
        <v>911.5</v>
      </c>
      <c r="S558" s="19">
        <f t="shared" si="88"/>
        <v>2323.5</v>
      </c>
      <c r="T558" s="19">
        <f t="shared" si="89"/>
        <v>14088.5</v>
      </c>
      <c r="U558" s="22" t="s">
        <v>30</v>
      </c>
    </row>
    <row r="559" spans="1:21" ht="15.75" customHeight="1">
      <c r="A559" s="17">
        <v>544</v>
      </c>
      <c r="B559" s="21" t="s">
        <v>657</v>
      </c>
      <c r="C559" s="21" t="s">
        <v>60</v>
      </c>
      <c r="D559" s="21" t="s">
        <v>58</v>
      </c>
      <c r="E559" s="22" t="s">
        <v>29</v>
      </c>
      <c r="F559" s="19">
        <v>30000</v>
      </c>
      <c r="G559" s="20">
        <v>0</v>
      </c>
      <c r="H559" s="20">
        <v>25</v>
      </c>
      <c r="I559" s="20">
        <v>0</v>
      </c>
      <c r="J559" s="20">
        <v>0</v>
      </c>
      <c r="K559" s="20">
        <f t="shared" si="84"/>
        <v>861</v>
      </c>
      <c r="L559" s="20">
        <f t="shared" si="85"/>
        <v>2130</v>
      </c>
      <c r="M559" s="20">
        <v>390</v>
      </c>
      <c r="N559" s="20">
        <v>912</v>
      </c>
      <c r="O559" s="20">
        <v>2127</v>
      </c>
      <c r="P559" s="20">
        <v>0</v>
      </c>
      <c r="Q559" s="19">
        <f t="shared" si="86"/>
        <v>1773</v>
      </c>
      <c r="R559" s="19">
        <f t="shared" si="87"/>
        <v>1798</v>
      </c>
      <c r="S559" s="19">
        <f t="shared" si="88"/>
        <v>4647</v>
      </c>
      <c r="T559" s="19">
        <f t="shared" si="89"/>
        <v>28202</v>
      </c>
      <c r="U559" s="22" t="s">
        <v>30</v>
      </c>
    </row>
    <row r="560" spans="1:21" ht="15.75" customHeight="1">
      <c r="A560" s="21">
        <v>545</v>
      </c>
      <c r="B560" s="21" t="s">
        <v>658</v>
      </c>
      <c r="C560" s="21" t="s">
        <v>68</v>
      </c>
      <c r="D560" s="21" t="s">
        <v>41</v>
      </c>
      <c r="E560" s="22" t="s">
        <v>29</v>
      </c>
      <c r="F560" s="19">
        <v>25000</v>
      </c>
      <c r="G560" s="20">
        <v>0</v>
      </c>
      <c r="H560" s="20">
        <v>25</v>
      </c>
      <c r="I560" s="20">
        <v>0</v>
      </c>
      <c r="J560" s="20">
        <f>1000+1879.26</f>
        <v>2879.26</v>
      </c>
      <c r="K560" s="20">
        <f t="shared" si="84"/>
        <v>717.5</v>
      </c>
      <c r="L560" s="20">
        <f t="shared" si="85"/>
        <v>1774.9999999999998</v>
      </c>
      <c r="M560" s="20">
        <v>325</v>
      </c>
      <c r="N560" s="20">
        <v>760</v>
      </c>
      <c r="O560" s="20">
        <v>1772.5000000000002</v>
      </c>
      <c r="P560" s="20">
        <v>0</v>
      </c>
      <c r="Q560" s="19">
        <f t="shared" si="86"/>
        <v>1477.5</v>
      </c>
      <c r="R560" s="19">
        <f t="shared" si="87"/>
        <v>4381.76</v>
      </c>
      <c r="S560" s="19">
        <f t="shared" si="88"/>
        <v>3872.5</v>
      </c>
      <c r="T560" s="19">
        <f t="shared" si="89"/>
        <v>20618.239999999998</v>
      </c>
      <c r="U560" s="22" t="s">
        <v>36</v>
      </c>
    </row>
    <row r="561" spans="1:21" ht="15.75" customHeight="1">
      <c r="A561" s="21">
        <v>546</v>
      </c>
      <c r="B561" s="21" t="s">
        <v>659</v>
      </c>
      <c r="C561" s="21" t="s">
        <v>88</v>
      </c>
      <c r="D561" s="21" t="s">
        <v>61</v>
      </c>
      <c r="E561" s="22" t="s">
        <v>29</v>
      </c>
      <c r="F561" s="19">
        <v>10000</v>
      </c>
      <c r="G561" s="20">
        <v>0</v>
      </c>
      <c r="H561" s="20">
        <v>25</v>
      </c>
      <c r="I561" s="20">
        <v>0</v>
      </c>
      <c r="J561" s="20">
        <v>0</v>
      </c>
      <c r="K561" s="20">
        <f t="shared" si="84"/>
        <v>287</v>
      </c>
      <c r="L561" s="20">
        <f t="shared" si="85"/>
        <v>709.99999999999989</v>
      </c>
      <c r="M561" s="20">
        <v>130</v>
      </c>
      <c r="N561" s="20">
        <v>304</v>
      </c>
      <c r="O561" s="20">
        <v>709</v>
      </c>
      <c r="P561" s="20">
        <v>0</v>
      </c>
      <c r="Q561" s="19">
        <f t="shared" si="86"/>
        <v>591</v>
      </c>
      <c r="R561" s="19">
        <f t="shared" si="87"/>
        <v>616</v>
      </c>
      <c r="S561" s="19">
        <f t="shared" si="88"/>
        <v>1549</v>
      </c>
      <c r="T561" s="19">
        <f t="shared" si="89"/>
        <v>9384</v>
      </c>
      <c r="U561" s="22" t="s">
        <v>30</v>
      </c>
    </row>
    <row r="562" spans="1:21" ht="15.75" customHeight="1">
      <c r="A562" s="17">
        <v>547</v>
      </c>
      <c r="B562" s="21" t="s">
        <v>660</v>
      </c>
      <c r="C562" s="21" t="s">
        <v>63</v>
      </c>
      <c r="D562" s="21" t="s">
        <v>78</v>
      </c>
      <c r="E562" s="22" t="s">
        <v>29</v>
      </c>
      <c r="F562" s="19">
        <v>25000</v>
      </c>
      <c r="G562" s="20">
        <v>0</v>
      </c>
      <c r="H562" s="20">
        <v>25</v>
      </c>
      <c r="I562" s="20">
        <v>0</v>
      </c>
      <c r="J562" s="20">
        <v>0</v>
      </c>
      <c r="K562" s="20">
        <f t="shared" si="84"/>
        <v>717.5</v>
      </c>
      <c r="L562" s="20">
        <f t="shared" si="85"/>
        <v>1774.9999999999998</v>
      </c>
      <c r="M562" s="20">
        <v>325</v>
      </c>
      <c r="N562" s="20">
        <v>760</v>
      </c>
      <c r="O562" s="20">
        <v>1772.5000000000002</v>
      </c>
      <c r="P562" s="20">
        <v>0</v>
      </c>
      <c r="Q562" s="19">
        <f t="shared" si="86"/>
        <v>1477.5</v>
      </c>
      <c r="R562" s="19">
        <f t="shared" si="87"/>
        <v>1502.5</v>
      </c>
      <c r="S562" s="19">
        <f t="shared" si="88"/>
        <v>3872.5</v>
      </c>
      <c r="T562" s="19">
        <f t="shared" si="89"/>
        <v>23497.5</v>
      </c>
      <c r="U562" s="22" t="s">
        <v>30</v>
      </c>
    </row>
    <row r="563" spans="1:21" ht="15.75" customHeight="1">
      <c r="A563" s="21">
        <v>548</v>
      </c>
      <c r="B563" s="21" t="s">
        <v>661</v>
      </c>
      <c r="C563" s="21" t="s">
        <v>662</v>
      </c>
      <c r="D563" s="21" t="s">
        <v>172</v>
      </c>
      <c r="E563" s="22" t="s">
        <v>29</v>
      </c>
      <c r="F563" s="19">
        <v>30000</v>
      </c>
      <c r="G563" s="20">
        <v>0</v>
      </c>
      <c r="H563" s="20">
        <v>25</v>
      </c>
      <c r="I563" s="20">
        <v>0</v>
      </c>
      <c r="J563" s="20">
        <v>300</v>
      </c>
      <c r="K563" s="20">
        <f t="shared" si="84"/>
        <v>861</v>
      </c>
      <c r="L563" s="20">
        <f t="shared" si="85"/>
        <v>2130</v>
      </c>
      <c r="M563" s="20">
        <v>390</v>
      </c>
      <c r="N563" s="20">
        <v>912</v>
      </c>
      <c r="O563" s="20">
        <v>2127</v>
      </c>
      <c r="P563" s="19">
        <v>1587.38</v>
      </c>
      <c r="Q563" s="19">
        <f t="shared" si="86"/>
        <v>1773</v>
      </c>
      <c r="R563" s="19">
        <f t="shared" si="87"/>
        <v>3685.38</v>
      </c>
      <c r="S563" s="19">
        <f t="shared" si="88"/>
        <v>4647</v>
      </c>
      <c r="T563" s="19">
        <f t="shared" si="89"/>
        <v>26314.62</v>
      </c>
      <c r="U563" s="22" t="s">
        <v>36</v>
      </c>
    </row>
    <row r="564" spans="1:21" ht="15.75" customHeight="1">
      <c r="A564" s="21">
        <v>549</v>
      </c>
      <c r="B564" s="21" t="s">
        <v>663</v>
      </c>
      <c r="C564" s="21" t="s">
        <v>235</v>
      </c>
      <c r="D564" s="21" t="s">
        <v>72</v>
      </c>
      <c r="E564" s="22" t="s">
        <v>29</v>
      </c>
      <c r="F564" s="19">
        <v>15000</v>
      </c>
      <c r="G564" s="20">
        <v>0</v>
      </c>
      <c r="H564" s="20">
        <v>25</v>
      </c>
      <c r="I564" s="20">
        <v>0</v>
      </c>
      <c r="J564" s="20">
        <v>0</v>
      </c>
      <c r="K564" s="20">
        <f t="shared" si="84"/>
        <v>430.5</v>
      </c>
      <c r="L564" s="20">
        <f t="shared" si="85"/>
        <v>1065</v>
      </c>
      <c r="M564" s="20">
        <v>195</v>
      </c>
      <c r="N564" s="20">
        <v>456</v>
      </c>
      <c r="O564" s="20">
        <v>1063.5</v>
      </c>
      <c r="P564" s="20">
        <v>0</v>
      </c>
      <c r="Q564" s="19">
        <f t="shared" si="86"/>
        <v>886.5</v>
      </c>
      <c r="R564" s="19">
        <f t="shared" si="87"/>
        <v>911.5</v>
      </c>
      <c r="S564" s="19">
        <f t="shared" si="88"/>
        <v>2323.5</v>
      </c>
      <c r="T564" s="19">
        <f t="shared" si="89"/>
        <v>14088.5</v>
      </c>
      <c r="U564" s="22" t="s">
        <v>36</v>
      </c>
    </row>
    <row r="565" spans="1:21" ht="15.75" customHeight="1">
      <c r="A565" s="17">
        <v>550</v>
      </c>
      <c r="B565" s="21" t="s">
        <v>664</v>
      </c>
      <c r="C565" s="21" t="s">
        <v>264</v>
      </c>
      <c r="D565" s="21" t="s">
        <v>98</v>
      </c>
      <c r="E565" s="22" t="s">
        <v>29</v>
      </c>
      <c r="F565" s="19">
        <v>18000</v>
      </c>
      <c r="G565" s="20">
        <v>0</v>
      </c>
      <c r="H565" s="20">
        <v>25</v>
      </c>
      <c r="I565" s="20">
        <v>0</v>
      </c>
      <c r="J565" s="20">
        <f>1000+1212.48</f>
        <v>2212.48</v>
      </c>
      <c r="K565" s="20">
        <f t="shared" si="84"/>
        <v>516.6</v>
      </c>
      <c r="L565" s="20">
        <f t="shared" si="85"/>
        <v>1277.9999999999998</v>
      </c>
      <c r="M565" s="20">
        <v>234</v>
      </c>
      <c r="N565" s="20">
        <v>547.20000000000005</v>
      </c>
      <c r="O565" s="20">
        <v>1276.2</v>
      </c>
      <c r="P565" s="20">
        <v>0</v>
      </c>
      <c r="Q565" s="19">
        <f t="shared" si="86"/>
        <v>1063.8000000000002</v>
      </c>
      <c r="R565" s="19">
        <f t="shared" si="87"/>
        <v>3301.2799999999997</v>
      </c>
      <c r="S565" s="19">
        <f t="shared" si="88"/>
        <v>2788.2</v>
      </c>
      <c r="T565" s="19">
        <f t="shared" si="89"/>
        <v>14698.720000000001</v>
      </c>
      <c r="U565" s="22" t="s">
        <v>30</v>
      </c>
    </row>
    <row r="566" spans="1:21" ht="15.75" customHeight="1">
      <c r="A566" s="21">
        <v>551</v>
      </c>
      <c r="B566" s="21" t="s">
        <v>665</v>
      </c>
      <c r="C566" s="21" t="s">
        <v>365</v>
      </c>
      <c r="D566" s="21" t="s">
        <v>58</v>
      </c>
      <c r="E566" s="22" t="s">
        <v>29</v>
      </c>
      <c r="F566" s="19">
        <v>30000</v>
      </c>
      <c r="G566" s="20">
        <v>0</v>
      </c>
      <c r="H566" s="20">
        <v>25</v>
      </c>
      <c r="I566" s="20">
        <v>0</v>
      </c>
      <c r="J566" s="20">
        <v>0</v>
      </c>
      <c r="K566" s="20">
        <f t="shared" si="84"/>
        <v>861</v>
      </c>
      <c r="L566" s="20">
        <f t="shared" si="85"/>
        <v>2130</v>
      </c>
      <c r="M566" s="20">
        <v>390</v>
      </c>
      <c r="N566" s="20">
        <v>912</v>
      </c>
      <c r="O566" s="20">
        <v>2127</v>
      </c>
      <c r="P566" s="20">
        <v>0</v>
      </c>
      <c r="Q566" s="19">
        <f t="shared" si="86"/>
        <v>1773</v>
      </c>
      <c r="R566" s="19">
        <f t="shared" si="87"/>
        <v>1798</v>
      </c>
      <c r="S566" s="19">
        <f t="shared" si="88"/>
        <v>4647</v>
      </c>
      <c r="T566" s="19">
        <f t="shared" si="89"/>
        <v>28202</v>
      </c>
      <c r="U566" s="22" t="s">
        <v>30</v>
      </c>
    </row>
    <row r="567" spans="1:21" ht="15.75" customHeight="1">
      <c r="A567" s="21">
        <v>552</v>
      </c>
      <c r="B567" s="21" t="s">
        <v>666</v>
      </c>
      <c r="C567" s="21" t="s">
        <v>355</v>
      </c>
      <c r="D567" s="21" t="s">
        <v>428</v>
      </c>
      <c r="E567" s="22" t="s">
        <v>302</v>
      </c>
      <c r="F567" s="19">
        <v>10000</v>
      </c>
      <c r="G567" s="20">
        <v>0</v>
      </c>
      <c r="H567" s="20">
        <v>25</v>
      </c>
      <c r="I567" s="20">
        <v>0</v>
      </c>
      <c r="J567" s="20">
        <v>0</v>
      </c>
      <c r="K567" s="20">
        <f t="shared" si="84"/>
        <v>287</v>
      </c>
      <c r="L567" s="20">
        <f t="shared" si="85"/>
        <v>709.99999999999989</v>
      </c>
      <c r="M567" s="20">
        <v>130</v>
      </c>
      <c r="N567" s="20">
        <v>304</v>
      </c>
      <c r="O567" s="20">
        <v>709</v>
      </c>
      <c r="P567" s="20">
        <v>0</v>
      </c>
      <c r="Q567" s="19">
        <f t="shared" si="86"/>
        <v>591</v>
      </c>
      <c r="R567" s="19">
        <f t="shared" si="87"/>
        <v>616</v>
      </c>
      <c r="S567" s="19">
        <f t="shared" si="88"/>
        <v>1549</v>
      </c>
      <c r="T567" s="19">
        <f t="shared" si="89"/>
        <v>9384</v>
      </c>
      <c r="U567" s="22" t="s">
        <v>30</v>
      </c>
    </row>
    <row r="568" spans="1:21" ht="15.75" customHeight="1">
      <c r="A568" s="17">
        <v>553</v>
      </c>
      <c r="B568" s="21" t="s">
        <v>667</v>
      </c>
      <c r="C568" s="21" t="s">
        <v>88</v>
      </c>
      <c r="D568" s="21" t="s">
        <v>58</v>
      </c>
      <c r="E568" s="22" t="s">
        <v>29</v>
      </c>
      <c r="F568" s="19">
        <v>10000</v>
      </c>
      <c r="G568" s="20">
        <v>0</v>
      </c>
      <c r="H568" s="20">
        <v>25</v>
      </c>
      <c r="I568" s="20">
        <v>0</v>
      </c>
      <c r="J568" s="20">
        <v>0</v>
      </c>
      <c r="K568" s="20">
        <f t="shared" si="84"/>
        <v>287</v>
      </c>
      <c r="L568" s="20">
        <f t="shared" si="85"/>
        <v>709.99999999999989</v>
      </c>
      <c r="M568" s="20">
        <v>130</v>
      </c>
      <c r="N568" s="20">
        <v>304</v>
      </c>
      <c r="O568" s="20">
        <v>709</v>
      </c>
      <c r="P568" s="20">
        <v>0</v>
      </c>
      <c r="Q568" s="19">
        <f t="shared" si="86"/>
        <v>591</v>
      </c>
      <c r="R568" s="19">
        <f t="shared" si="87"/>
        <v>616</v>
      </c>
      <c r="S568" s="19">
        <f t="shared" si="88"/>
        <v>1549</v>
      </c>
      <c r="T568" s="19">
        <f t="shared" si="89"/>
        <v>9384</v>
      </c>
      <c r="U568" s="22" t="s">
        <v>30</v>
      </c>
    </row>
    <row r="569" spans="1:21" ht="15.75" customHeight="1">
      <c r="A569" s="21">
        <v>554</v>
      </c>
      <c r="B569" s="21" t="s">
        <v>668</v>
      </c>
      <c r="C569" s="21" t="s">
        <v>96</v>
      </c>
      <c r="D569" s="21" t="s">
        <v>49</v>
      </c>
      <c r="E569" s="22" t="s">
        <v>29</v>
      </c>
      <c r="F569" s="19">
        <v>15000</v>
      </c>
      <c r="G569" s="20">
        <v>0</v>
      </c>
      <c r="H569" s="20">
        <v>25</v>
      </c>
      <c r="I569" s="20">
        <v>0</v>
      </c>
      <c r="J569" s="20">
        <f>700+300+1750.47</f>
        <v>2750.4700000000003</v>
      </c>
      <c r="K569" s="20">
        <f t="shared" si="84"/>
        <v>430.5</v>
      </c>
      <c r="L569" s="20">
        <f t="shared" si="85"/>
        <v>1065</v>
      </c>
      <c r="M569" s="20">
        <v>195</v>
      </c>
      <c r="N569" s="20">
        <v>456</v>
      </c>
      <c r="O569" s="20">
        <v>1063.5</v>
      </c>
      <c r="P569" s="20">
        <v>0</v>
      </c>
      <c r="Q569" s="19">
        <f t="shared" si="86"/>
        <v>886.5</v>
      </c>
      <c r="R569" s="19">
        <f t="shared" si="87"/>
        <v>3661.9700000000003</v>
      </c>
      <c r="S569" s="19">
        <f t="shared" si="88"/>
        <v>2323.5</v>
      </c>
      <c r="T569" s="19">
        <f t="shared" si="89"/>
        <v>11338.029999999999</v>
      </c>
      <c r="U569" s="22" t="s">
        <v>30</v>
      </c>
    </row>
    <row r="570" spans="1:21" ht="15.75" customHeight="1">
      <c r="A570" s="21">
        <v>555</v>
      </c>
      <c r="B570" s="21" t="s">
        <v>669</v>
      </c>
      <c r="C570" s="21" t="s">
        <v>138</v>
      </c>
      <c r="D570" s="21" t="s">
        <v>58</v>
      </c>
      <c r="E570" s="22" t="s">
        <v>29</v>
      </c>
      <c r="F570" s="19">
        <v>15000</v>
      </c>
      <c r="G570" s="20">
        <v>0</v>
      </c>
      <c r="H570" s="20">
        <v>25</v>
      </c>
      <c r="I570" s="20">
        <v>0</v>
      </c>
      <c r="J570" s="20">
        <v>0</v>
      </c>
      <c r="K570" s="20">
        <f t="shared" si="84"/>
        <v>430.5</v>
      </c>
      <c r="L570" s="20">
        <f t="shared" si="85"/>
        <v>1065</v>
      </c>
      <c r="M570" s="20">
        <v>195</v>
      </c>
      <c r="N570" s="20">
        <v>456</v>
      </c>
      <c r="O570" s="20">
        <v>1063.5</v>
      </c>
      <c r="P570" s="20">
        <v>0</v>
      </c>
      <c r="Q570" s="19">
        <f t="shared" si="86"/>
        <v>886.5</v>
      </c>
      <c r="R570" s="19">
        <f t="shared" si="87"/>
        <v>911.5</v>
      </c>
      <c r="S570" s="19">
        <f t="shared" si="88"/>
        <v>2323.5</v>
      </c>
      <c r="T570" s="19">
        <f t="shared" si="89"/>
        <v>14088.5</v>
      </c>
      <c r="U570" s="22" t="s">
        <v>30</v>
      </c>
    </row>
    <row r="571" spans="1:21" ht="15.75" customHeight="1">
      <c r="A571" s="17">
        <v>556</v>
      </c>
      <c r="B571" s="21" t="s">
        <v>670</v>
      </c>
      <c r="C571" s="21" t="s">
        <v>671</v>
      </c>
      <c r="D571" s="21" t="s">
        <v>98</v>
      </c>
      <c r="E571" s="22" t="s">
        <v>29</v>
      </c>
      <c r="F571" s="19">
        <v>30000</v>
      </c>
      <c r="G571" s="20">
        <v>0</v>
      </c>
      <c r="H571" s="20">
        <v>25</v>
      </c>
      <c r="I571" s="20">
        <v>0</v>
      </c>
      <c r="J571" s="20">
        <v>0</v>
      </c>
      <c r="K571" s="20">
        <f t="shared" si="84"/>
        <v>861</v>
      </c>
      <c r="L571" s="20">
        <f t="shared" si="85"/>
        <v>2130</v>
      </c>
      <c r="M571" s="20">
        <v>390</v>
      </c>
      <c r="N571" s="20">
        <v>912</v>
      </c>
      <c r="O571" s="20">
        <v>2127</v>
      </c>
      <c r="P571" s="20">
        <v>0</v>
      </c>
      <c r="Q571" s="19">
        <f t="shared" si="86"/>
        <v>1773</v>
      </c>
      <c r="R571" s="19">
        <f t="shared" si="87"/>
        <v>1798</v>
      </c>
      <c r="S571" s="19">
        <f t="shared" si="88"/>
        <v>4647</v>
      </c>
      <c r="T571" s="19">
        <f t="shared" si="89"/>
        <v>28202</v>
      </c>
      <c r="U571" s="22" t="s">
        <v>30</v>
      </c>
    </row>
    <row r="572" spans="1:21" ht="15.75" customHeight="1">
      <c r="A572" s="21">
        <v>557</v>
      </c>
      <c r="B572" s="21" t="s">
        <v>672</v>
      </c>
      <c r="C572" s="21" t="s">
        <v>63</v>
      </c>
      <c r="D572" s="21" t="s">
        <v>98</v>
      </c>
      <c r="E572" s="22" t="s">
        <v>29</v>
      </c>
      <c r="F572" s="19">
        <v>20000</v>
      </c>
      <c r="G572" s="20">
        <v>0</v>
      </c>
      <c r="H572" s="20">
        <v>25</v>
      </c>
      <c r="I572" s="20">
        <v>0</v>
      </c>
      <c r="J572" s="20">
        <v>0</v>
      </c>
      <c r="K572" s="20">
        <f t="shared" si="84"/>
        <v>574</v>
      </c>
      <c r="L572" s="20">
        <f t="shared" si="85"/>
        <v>1419.9999999999998</v>
      </c>
      <c r="M572" s="20">
        <v>260</v>
      </c>
      <c r="N572" s="20">
        <v>608</v>
      </c>
      <c r="O572" s="20">
        <v>1418</v>
      </c>
      <c r="P572" s="20">
        <v>0</v>
      </c>
      <c r="Q572" s="19">
        <f t="shared" si="86"/>
        <v>1182</v>
      </c>
      <c r="R572" s="19">
        <f t="shared" si="87"/>
        <v>1207</v>
      </c>
      <c r="S572" s="19">
        <f t="shared" si="88"/>
        <v>3098</v>
      </c>
      <c r="T572" s="19">
        <f t="shared" si="89"/>
        <v>18793</v>
      </c>
      <c r="U572" s="22" t="s">
        <v>30</v>
      </c>
    </row>
    <row r="573" spans="1:21" ht="15.75" customHeight="1">
      <c r="A573" s="21">
        <v>558</v>
      </c>
      <c r="B573" s="21" t="s">
        <v>673</v>
      </c>
      <c r="C573" s="21" t="s">
        <v>674</v>
      </c>
      <c r="D573" s="21" t="s">
        <v>28</v>
      </c>
      <c r="E573" s="22" t="s">
        <v>29</v>
      </c>
      <c r="F573" s="19">
        <v>90000</v>
      </c>
      <c r="G573" s="20">
        <v>9753.1200000000008</v>
      </c>
      <c r="H573" s="20">
        <v>25</v>
      </c>
      <c r="I573" s="20">
        <v>0</v>
      </c>
      <c r="J573" s="20">
        <v>0</v>
      </c>
      <c r="K573" s="20">
        <f t="shared" si="84"/>
        <v>2583</v>
      </c>
      <c r="L573" s="20">
        <f t="shared" si="85"/>
        <v>6389.9999999999991</v>
      </c>
      <c r="M573" s="20">
        <v>972.5</v>
      </c>
      <c r="N573" s="20">
        <v>2736</v>
      </c>
      <c r="O573" s="20">
        <v>6381</v>
      </c>
      <c r="P573" s="20">
        <v>0</v>
      </c>
      <c r="Q573" s="19">
        <f t="shared" si="86"/>
        <v>5319</v>
      </c>
      <c r="R573" s="19">
        <f t="shared" si="87"/>
        <v>15097.12</v>
      </c>
      <c r="S573" s="19">
        <f t="shared" si="88"/>
        <v>13743.5</v>
      </c>
      <c r="T573" s="19">
        <f t="shared" si="89"/>
        <v>74902.880000000005</v>
      </c>
      <c r="U573" s="22" t="s">
        <v>36</v>
      </c>
    </row>
    <row r="574" spans="1:21" ht="15.75" customHeight="1">
      <c r="A574" s="17">
        <v>559</v>
      </c>
      <c r="B574" s="21" t="s">
        <v>675</v>
      </c>
      <c r="C574" s="21" t="s">
        <v>355</v>
      </c>
      <c r="D574" s="21" t="s">
        <v>428</v>
      </c>
      <c r="E574" s="22" t="s">
        <v>302</v>
      </c>
      <c r="F574" s="19">
        <v>10000</v>
      </c>
      <c r="G574" s="20">
        <v>0</v>
      </c>
      <c r="H574" s="20">
        <v>25</v>
      </c>
      <c r="I574" s="20">
        <v>0</v>
      </c>
      <c r="J574" s="20">
        <v>0</v>
      </c>
      <c r="K574" s="20">
        <f t="shared" si="84"/>
        <v>287</v>
      </c>
      <c r="L574" s="20">
        <f t="shared" si="85"/>
        <v>709.99999999999989</v>
      </c>
      <c r="M574" s="20">
        <v>130</v>
      </c>
      <c r="N574" s="20">
        <v>304</v>
      </c>
      <c r="O574" s="20">
        <v>709</v>
      </c>
      <c r="P574" s="20">
        <v>0</v>
      </c>
      <c r="Q574" s="19">
        <f t="shared" si="86"/>
        <v>591</v>
      </c>
      <c r="R574" s="19">
        <f t="shared" si="87"/>
        <v>616</v>
      </c>
      <c r="S574" s="19">
        <f t="shared" si="88"/>
        <v>1549</v>
      </c>
      <c r="T574" s="19">
        <f t="shared" si="89"/>
        <v>9384</v>
      </c>
      <c r="U574" s="22" t="s">
        <v>30</v>
      </c>
    </row>
    <row r="575" spans="1:21" ht="15.75" customHeight="1">
      <c r="A575" s="21">
        <v>560</v>
      </c>
      <c r="B575" s="21" t="s">
        <v>676</v>
      </c>
      <c r="C575" s="21" t="s">
        <v>60</v>
      </c>
      <c r="D575" s="21" t="s">
        <v>72</v>
      </c>
      <c r="E575" s="22" t="s">
        <v>29</v>
      </c>
      <c r="F575" s="19">
        <v>36000</v>
      </c>
      <c r="G575" s="20">
        <v>0</v>
      </c>
      <c r="H575" s="20">
        <v>25</v>
      </c>
      <c r="I575" s="20">
        <v>0</v>
      </c>
      <c r="J575" s="20">
        <v>0</v>
      </c>
      <c r="K575" s="20">
        <f t="shared" si="84"/>
        <v>1033.2</v>
      </c>
      <c r="L575" s="20">
        <f t="shared" si="85"/>
        <v>2555.9999999999995</v>
      </c>
      <c r="M575" s="20">
        <v>468</v>
      </c>
      <c r="N575" s="20">
        <v>1094.4000000000001</v>
      </c>
      <c r="O575" s="20">
        <v>2552.4</v>
      </c>
      <c r="P575" s="20">
        <v>0</v>
      </c>
      <c r="Q575" s="19">
        <f t="shared" si="86"/>
        <v>2127.6000000000004</v>
      </c>
      <c r="R575" s="19">
        <f t="shared" si="87"/>
        <v>2152.6000000000004</v>
      </c>
      <c r="S575" s="19">
        <f t="shared" si="88"/>
        <v>5576.4</v>
      </c>
      <c r="T575" s="19">
        <f t="shared" si="89"/>
        <v>33847.4</v>
      </c>
      <c r="U575" s="22" t="s">
        <v>30</v>
      </c>
    </row>
    <row r="576" spans="1:21" ht="15.75" customHeight="1">
      <c r="A576" s="21">
        <v>561</v>
      </c>
      <c r="B576" s="21" t="s">
        <v>677</v>
      </c>
      <c r="C576" s="21" t="s">
        <v>88</v>
      </c>
      <c r="D576" s="21" t="s">
        <v>58</v>
      </c>
      <c r="E576" s="22" t="s">
        <v>29</v>
      </c>
      <c r="F576" s="19">
        <v>10000</v>
      </c>
      <c r="G576" s="20">
        <v>0</v>
      </c>
      <c r="H576" s="20">
        <v>25</v>
      </c>
      <c r="I576" s="20">
        <v>0</v>
      </c>
      <c r="J576" s="20">
        <v>0</v>
      </c>
      <c r="K576" s="20">
        <f t="shared" si="84"/>
        <v>287</v>
      </c>
      <c r="L576" s="20">
        <f t="shared" si="85"/>
        <v>709.99999999999989</v>
      </c>
      <c r="M576" s="20">
        <v>130</v>
      </c>
      <c r="N576" s="20">
        <v>304</v>
      </c>
      <c r="O576" s="20">
        <v>709</v>
      </c>
      <c r="P576" s="20">
        <v>0</v>
      </c>
      <c r="Q576" s="19">
        <f t="shared" si="86"/>
        <v>591</v>
      </c>
      <c r="R576" s="19">
        <f t="shared" si="87"/>
        <v>616</v>
      </c>
      <c r="S576" s="19">
        <f t="shared" si="88"/>
        <v>1549</v>
      </c>
      <c r="T576" s="19">
        <f t="shared" si="89"/>
        <v>9384</v>
      </c>
      <c r="U576" s="22" t="s">
        <v>36</v>
      </c>
    </row>
    <row r="577" spans="1:21" ht="15.75" customHeight="1">
      <c r="A577" s="17">
        <v>562</v>
      </c>
      <c r="B577" s="21" t="s">
        <v>678</v>
      </c>
      <c r="C577" s="21" t="s">
        <v>71</v>
      </c>
      <c r="D577" s="21" t="s">
        <v>72</v>
      </c>
      <c r="E577" s="22" t="s">
        <v>302</v>
      </c>
      <c r="F577" s="19">
        <v>10000</v>
      </c>
      <c r="G577" s="20">
        <v>0</v>
      </c>
      <c r="H577" s="20">
        <v>25</v>
      </c>
      <c r="I577" s="20">
        <v>0</v>
      </c>
      <c r="J577" s="20">
        <v>0</v>
      </c>
      <c r="K577" s="20">
        <f t="shared" si="84"/>
        <v>287</v>
      </c>
      <c r="L577" s="20">
        <f t="shared" si="85"/>
        <v>709.99999999999989</v>
      </c>
      <c r="M577" s="20">
        <v>130</v>
      </c>
      <c r="N577" s="20">
        <v>304</v>
      </c>
      <c r="O577" s="20">
        <v>709</v>
      </c>
      <c r="P577" s="20">
        <v>0</v>
      </c>
      <c r="Q577" s="19">
        <f t="shared" si="86"/>
        <v>591</v>
      </c>
      <c r="R577" s="19">
        <f t="shared" si="87"/>
        <v>616</v>
      </c>
      <c r="S577" s="19">
        <f t="shared" si="88"/>
        <v>1549</v>
      </c>
      <c r="T577" s="19">
        <f t="shared" si="89"/>
        <v>9384</v>
      </c>
      <c r="U577" s="22" t="s">
        <v>36</v>
      </c>
    </row>
    <row r="578" spans="1:21" ht="15.75" customHeight="1">
      <c r="A578" s="21">
        <v>563</v>
      </c>
      <c r="B578" s="21" t="s">
        <v>679</v>
      </c>
      <c r="C578" s="21" t="s">
        <v>63</v>
      </c>
      <c r="D578" s="21" t="s">
        <v>98</v>
      </c>
      <c r="E578" s="22" t="s">
        <v>29</v>
      </c>
      <c r="F578" s="19">
        <v>20000</v>
      </c>
      <c r="G578" s="20">
        <v>0</v>
      </c>
      <c r="H578" s="20">
        <v>25</v>
      </c>
      <c r="I578" s="20">
        <v>0</v>
      </c>
      <c r="J578" s="20">
        <v>0</v>
      </c>
      <c r="K578" s="20">
        <f t="shared" si="84"/>
        <v>574</v>
      </c>
      <c r="L578" s="20">
        <f t="shared" si="85"/>
        <v>1419.9999999999998</v>
      </c>
      <c r="M578" s="20">
        <v>260</v>
      </c>
      <c r="N578" s="20">
        <v>608</v>
      </c>
      <c r="O578" s="20">
        <v>1418</v>
      </c>
      <c r="P578" s="20">
        <v>0</v>
      </c>
      <c r="Q578" s="19">
        <f t="shared" si="86"/>
        <v>1182</v>
      </c>
      <c r="R578" s="19">
        <f t="shared" si="87"/>
        <v>1207</v>
      </c>
      <c r="S578" s="19">
        <f t="shared" si="88"/>
        <v>3098</v>
      </c>
      <c r="T578" s="19">
        <f t="shared" si="89"/>
        <v>18793</v>
      </c>
      <c r="U578" s="22" t="s">
        <v>30</v>
      </c>
    </row>
    <row r="579" spans="1:21" ht="15.75" customHeight="1">
      <c r="A579" s="21">
        <v>564</v>
      </c>
      <c r="B579" s="21" t="s">
        <v>680</v>
      </c>
      <c r="C579" s="21" t="s">
        <v>227</v>
      </c>
      <c r="D579" s="21" t="s">
        <v>69</v>
      </c>
      <c r="E579" s="22" t="s">
        <v>29</v>
      </c>
      <c r="F579" s="19">
        <v>25000</v>
      </c>
      <c r="G579" s="20">
        <v>0</v>
      </c>
      <c r="H579" s="20">
        <v>25</v>
      </c>
      <c r="I579" s="20">
        <v>0</v>
      </c>
      <c r="J579" s="20">
        <v>0</v>
      </c>
      <c r="K579" s="20">
        <f t="shared" si="84"/>
        <v>717.5</v>
      </c>
      <c r="L579" s="20">
        <f t="shared" si="85"/>
        <v>1774.9999999999998</v>
      </c>
      <c r="M579" s="20">
        <v>325</v>
      </c>
      <c r="N579" s="20">
        <v>760</v>
      </c>
      <c r="O579" s="20">
        <v>1772.5000000000002</v>
      </c>
      <c r="P579" s="20">
        <v>0</v>
      </c>
      <c r="Q579" s="19">
        <f t="shared" si="86"/>
        <v>1477.5</v>
      </c>
      <c r="R579" s="19">
        <f t="shared" si="87"/>
        <v>1502.5</v>
      </c>
      <c r="S579" s="19">
        <f t="shared" si="88"/>
        <v>3872.5</v>
      </c>
      <c r="T579" s="19">
        <f t="shared" si="89"/>
        <v>23497.5</v>
      </c>
      <c r="U579" s="22" t="s">
        <v>30</v>
      </c>
    </row>
    <row r="580" spans="1:21" ht="15.75" customHeight="1">
      <c r="A580" s="17">
        <v>565</v>
      </c>
      <c r="B580" s="21" t="s">
        <v>681</v>
      </c>
      <c r="C580" s="21" t="s">
        <v>66</v>
      </c>
      <c r="D580" s="21" t="s">
        <v>58</v>
      </c>
      <c r="E580" s="22" t="s">
        <v>29</v>
      </c>
      <c r="F580" s="19">
        <v>25000</v>
      </c>
      <c r="G580" s="20">
        <v>0</v>
      </c>
      <c r="H580" s="20">
        <v>25</v>
      </c>
      <c r="I580" s="20">
        <v>0</v>
      </c>
      <c r="J580" s="20">
        <v>0</v>
      </c>
      <c r="K580" s="20">
        <f t="shared" si="84"/>
        <v>717.5</v>
      </c>
      <c r="L580" s="20">
        <f t="shared" si="85"/>
        <v>1774.9999999999998</v>
      </c>
      <c r="M580" s="20">
        <v>325</v>
      </c>
      <c r="N580" s="20">
        <v>760</v>
      </c>
      <c r="O580" s="20">
        <v>1772.5000000000002</v>
      </c>
      <c r="P580" s="20">
        <v>0</v>
      </c>
      <c r="Q580" s="19">
        <f t="shared" si="86"/>
        <v>1477.5</v>
      </c>
      <c r="R580" s="19">
        <f t="shared" si="87"/>
        <v>1502.5</v>
      </c>
      <c r="S580" s="19">
        <f t="shared" si="88"/>
        <v>3872.5</v>
      </c>
      <c r="T580" s="19">
        <f t="shared" si="89"/>
        <v>23497.5</v>
      </c>
      <c r="U580" s="22" t="s">
        <v>30</v>
      </c>
    </row>
    <row r="581" spans="1:21" ht="15.75" customHeight="1">
      <c r="A581" s="21">
        <v>566</v>
      </c>
      <c r="B581" s="21" t="s">
        <v>682</v>
      </c>
      <c r="C581" s="21" t="s">
        <v>48</v>
      </c>
      <c r="D581" s="21" t="s">
        <v>58</v>
      </c>
      <c r="E581" s="22" t="s">
        <v>29</v>
      </c>
      <c r="F581" s="19">
        <v>22000</v>
      </c>
      <c r="G581" s="20">
        <v>0</v>
      </c>
      <c r="H581" s="20">
        <v>25</v>
      </c>
      <c r="I581" s="20">
        <v>0</v>
      </c>
      <c r="J581" s="20">
        <v>0</v>
      </c>
      <c r="K581" s="20">
        <f t="shared" si="84"/>
        <v>631.4</v>
      </c>
      <c r="L581" s="20">
        <f t="shared" si="85"/>
        <v>1561.9999999999998</v>
      </c>
      <c r="M581" s="20">
        <v>286</v>
      </c>
      <c r="N581" s="20">
        <v>668.8</v>
      </c>
      <c r="O581" s="20">
        <v>1559.8000000000002</v>
      </c>
      <c r="P581" s="20">
        <v>0</v>
      </c>
      <c r="Q581" s="19">
        <f t="shared" si="86"/>
        <v>1300.1999999999998</v>
      </c>
      <c r="R581" s="19">
        <f t="shared" si="87"/>
        <v>1325.1999999999998</v>
      </c>
      <c r="S581" s="19">
        <f t="shared" si="88"/>
        <v>3407.8</v>
      </c>
      <c r="T581" s="19">
        <f t="shared" si="89"/>
        <v>20674.8</v>
      </c>
      <c r="U581" s="22" t="s">
        <v>36</v>
      </c>
    </row>
    <row r="582" spans="1:21" ht="15.75" customHeight="1">
      <c r="A582" s="21">
        <v>567</v>
      </c>
      <c r="B582" s="21" t="s">
        <v>683</v>
      </c>
      <c r="C582" s="21" t="s">
        <v>491</v>
      </c>
      <c r="D582" s="21" t="s">
        <v>72</v>
      </c>
      <c r="E582" s="22" t="s">
        <v>29</v>
      </c>
      <c r="F582" s="19">
        <v>15000</v>
      </c>
      <c r="G582" s="20">
        <v>0</v>
      </c>
      <c r="H582" s="20">
        <v>25</v>
      </c>
      <c r="I582" s="20">
        <v>0</v>
      </c>
      <c r="J582" s="20">
        <f>500+500+2010.83</f>
        <v>3010.83</v>
      </c>
      <c r="K582" s="20">
        <f t="shared" si="84"/>
        <v>430.5</v>
      </c>
      <c r="L582" s="20">
        <f t="shared" si="85"/>
        <v>1065</v>
      </c>
      <c r="M582" s="20">
        <v>195</v>
      </c>
      <c r="N582" s="20">
        <v>456</v>
      </c>
      <c r="O582" s="20">
        <v>1063.5</v>
      </c>
      <c r="P582" s="20">
        <v>0</v>
      </c>
      <c r="Q582" s="19">
        <f t="shared" si="86"/>
        <v>886.5</v>
      </c>
      <c r="R582" s="19">
        <f t="shared" si="87"/>
        <v>3922.33</v>
      </c>
      <c r="S582" s="19">
        <f t="shared" si="88"/>
        <v>2323.5</v>
      </c>
      <c r="T582" s="19">
        <f t="shared" si="89"/>
        <v>11077.67</v>
      </c>
      <c r="U582" s="22" t="s">
        <v>36</v>
      </c>
    </row>
    <row r="583" spans="1:21" ht="15.75" customHeight="1">
      <c r="A583" s="17">
        <v>568</v>
      </c>
      <c r="B583" s="21" t="s">
        <v>684</v>
      </c>
      <c r="C583" s="21" t="s">
        <v>71</v>
      </c>
      <c r="D583" s="21" t="s">
        <v>52</v>
      </c>
      <c r="E583" s="22" t="s">
        <v>29</v>
      </c>
      <c r="F583" s="19">
        <v>10000</v>
      </c>
      <c r="G583" s="20">
        <v>0</v>
      </c>
      <c r="H583" s="20">
        <v>25</v>
      </c>
      <c r="I583" s="20">
        <v>0</v>
      </c>
      <c r="J583" s="20">
        <f>1000+1847.94</f>
        <v>2847.94</v>
      </c>
      <c r="K583" s="20">
        <f t="shared" si="84"/>
        <v>287</v>
      </c>
      <c r="L583" s="20">
        <f t="shared" si="85"/>
        <v>709.99999999999989</v>
      </c>
      <c r="M583" s="20">
        <v>130</v>
      </c>
      <c r="N583" s="20">
        <v>304</v>
      </c>
      <c r="O583" s="20">
        <v>709</v>
      </c>
      <c r="P583" s="20">
        <v>0</v>
      </c>
      <c r="Q583" s="19">
        <f t="shared" si="86"/>
        <v>591</v>
      </c>
      <c r="R583" s="19">
        <f t="shared" si="87"/>
        <v>3463.94</v>
      </c>
      <c r="S583" s="19">
        <f t="shared" si="88"/>
        <v>1549</v>
      </c>
      <c r="T583" s="19">
        <f t="shared" si="89"/>
        <v>6536.0599999999995</v>
      </c>
      <c r="U583" s="22" t="s">
        <v>36</v>
      </c>
    </row>
    <row r="584" spans="1:21" ht="15.75" customHeight="1">
      <c r="A584" s="21">
        <v>569</v>
      </c>
      <c r="B584" s="21" t="s">
        <v>685</v>
      </c>
      <c r="C584" s="21" t="s">
        <v>88</v>
      </c>
      <c r="D584" s="21" t="s">
        <v>686</v>
      </c>
      <c r="E584" s="22" t="s">
        <v>29</v>
      </c>
      <c r="F584" s="19">
        <v>10000</v>
      </c>
      <c r="G584" s="20">
        <v>0</v>
      </c>
      <c r="H584" s="20">
        <v>25</v>
      </c>
      <c r="I584" s="20">
        <v>0</v>
      </c>
      <c r="J584" s="20">
        <v>0</v>
      </c>
      <c r="K584" s="20">
        <f t="shared" si="84"/>
        <v>287</v>
      </c>
      <c r="L584" s="20">
        <f t="shared" si="85"/>
        <v>709.99999999999989</v>
      </c>
      <c r="M584" s="20">
        <v>130</v>
      </c>
      <c r="N584" s="20">
        <v>304</v>
      </c>
      <c r="O584" s="20">
        <v>709</v>
      </c>
      <c r="P584" s="20">
        <v>0</v>
      </c>
      <c r="Q584" s="19">
        <f t="shared" si="86"/>
        <v>591</v>
      </c>
      <c r="R584" s="19">
        <f t="shared" si="87"/>
        <v>616</v>
      </c>
      <c r="S584" s="19">
        <f t="shared" si="88"/>
        <v>1549</v>
      </c>
      <c r="T584" s="19">
        <f t="shared" si="89"/>
        <v>9384</v>
      </c>
      <c r="U584" s="22" t="s">
        <v>30</v>
      </c>
    </row>
    <row r="585" spans="1:21" ht="15.75" customHeight="1">
      <c r="A585" s="21">
        <v>570</v>
      </c>
      <c r="B585" s="21" t="s">
        <v>687</v>
      </c>
      <c r="C585" s="21" t="s">
        <v>51</v>
      </c>
      <c r="D585" s="21" t="s">
        <v>52</v>
      </c>
      <c r="E585" s="22" t="s">
        <v>29</v>
      </c>
      <c r="F585" s="19">
        <v>13500</v>
      </c>
      <c r="G585" s="20">
        <v>0</v>
      </c>
      <c r="H585" s="20">
        <v>25</v>
      </c>
      <c r="I585" s="20">
        <v>0</v>
      </c>
      <c r="J585" s="20">
        <v>0</v>
      </c>
      <c r="K585" s="20">
        <f t="shared" si="84"/>
        <v>387.45</v>
      </c>
      <c r="L585" s="20">
        <f t="shared" si="85"/>
        <v>958.49999999999989</v>
      </c>
      <c r="M585" s="20">
        <v>175.5</v>
      </c>
      <c r="N585" s="20">
        <v>410.4</v>
      </c>
      <c r="O585" s="20">
        <v>957.15000000000009</v>
      </c>
      <c r="P585" s="20">
        <v>0</v>
      </c>
      <c r="Q585" s="19">
        <f t="shared" si="86"/>
        <v>797.84999999999991</v>
      </c>
      <c r="R585" s="19">
        <f t="shared" si="87"/>
        <v>822.84999999999991</v>
      </c>
      <c r="S585" s="19">
        <f t="shared" si="88"/>
        <v>2091.15</v>
      </c>
      <c r="T585" s="19">
        <f t="shared" si="89"/>
        <v>12677.15</v>
      </c>
      <c r="U585" s="22" t="s">
        <v>30</v>
      </c>
    </row>
    <row r="586" spans="1:21" ht="15.75" customHeight="1">
      <c r="A586" s="17">
        <v>571</v>
      </c>
      <c r="B586" s="21" t="s">
        <v>688</v>
      </c>
      <c r="C586" s="21" t="s">
        <v>531</v>
      </c>
      <c r="D586" s="21" t="s">
        <v>98</v>
      </c>
      <c r="E586" s="22" t="s">
        <v>29</v>
      </c>
      <c r="F586" s="19">
        <v>20000</v>
      </c>
      <c r="G586" s="20">
        <v>0</v>
      </c>
      <c r="H586" s="20">
        <v>25</v>
      </c>
      <c r="I586" s="20">
        <v>0</v>
      </c>
      <c r="J586" s="20">
        <f>1000+1313.36</f>
        <v>2313.3599999999997</v>
      </c>
      <c r="K586" s="20">
        <f t="shared" si="84"/>
        <v>574</v>
      </c>
      <c r="L586" s="20">
        <f t="shared" si="85"/>
        <v>1419.9999999999998</v>
      </c>
      <c r="M586" s="20">
        <v>260</v>
      </c>
      <c r="N586" s="20">
        <v>608</v>
      </c>
      <c r="O586" s="20">
        <v>1418</v>
      </c>
      <c r="P586" s="20">
        <v>0</v>
      </c>
      <c r="Q586" s="19">
        <f t="shared" si="86"/>
        <v>1182</v>
      </c>
      <c r="R586" s="19">
        <f t="shared" si="87"/>
        <v>3520.3599999999997</v>
      </c>
      <c r="S586" s="19">
        <f t="shared" si="88"/>
        <v>3098</v>
      </c>
      <c r="T586" s="19">
        <f t="shared" si="89"/>
        <v>16479.64</v>
      </c>
      <c r="U586" s="22" t="s">
        <v>30</v>
      </c>
    </row>
    <row r="587" spans="1:21" ht="15.75" customHeight="1">
      <c r="A587" s="21">
        <v>572</v>
      </c>
      <c r="B587" s="21" t="s">
        <v>689</v>
      </c>
      <c r="C587" s="21" t="s">
        <v>88</v>
      </c>
      <c r="D587" s="21" t="s">
        <v>28</v>
      </c>
      <c r="E587" s="22" t="s">
        <v>302</v>
      </c>
      <c r="F587" s="19">
        <v>10000</v>
      </c>
      <c r="G587" s="20">
        <v>0</v>
      </c>
      <c r="H587" s="20">
        <v>25</v>
      </c>
      <c r="I587" s="20">
        <v>0</v>
      </c>
      <c r="J587" s="20">
        <v>0</v>
      </c>
      <c r="K587" s="20">
        <f t="shared" si="84"/>
        <v>287</v>
      </c>
      <c r="L587" s="20">
        <f t="shared" si="85"/>
        <v>709.99999999999989</v>
      </c>
      <c r="M587" s="20">
        <v>130</v>
      </c>
      <c r="N587" s="20">
        <v>304</v>
      </c>
      <c r="O587" s="20">
        <v>709</v>
      </c>
      <c r="P587" s="20">
        <v>0</v>
      </c>
      <c r="Q587" s="19">
        <f t="shared" si="86"/>
        <v>591</v>
      </c>
      <c r="R587" s="19">
        <f t="shared" si="87"/>
        <v>616</v>
      </c>
      <c r="S587" s="19">
        <f t="shared" si="88"/>
        <v>1549</v>
      </c>
      <c r="T587" s="19">
        <f t="shared" si="89"/>
        <v>9384</v>
      </c>
      <c r="U587" s="22" t="s">
        <v>30</v>
      </c>
    </row>
    <row r="588" spans="1:21" ht="15.75" customHeight="1">
      <c r="A588" s="21">
        <v>573</v>
      </c>
      <c r="B588" s="21" t="s">
        <v>690</v>
      </c>
      <c r="C588" s="21" t="s">
        <v>96</v>
      </c>
      <c r="D588" s="21" t="s">
        <v>49</v>
      </c>
      <c r="E588" s="22" t="s">
        <v>29</v>
      </c>
      <c r="F588" s="19">
        <v>12000</v>
      </c>
      <c r="G588" s="20">
        <v>0</v>
      </c>
      <c r="H588" s="20">
        <v>25</v>
      </c>
      <c r="I588" s="20">
        <v>0</v>
      </c>
      <c r="J588" s="20">
        <f>1000+300+5841</f>
        <v>7141</v>
      </c>
      <c r="K588" s="20">
        <f t="shared" si="84"/>
        <v>344.4</v>
      </c>
      <c r="L588" s="20">
        <f t="shared" si="85"/>
        <v>851.99999999999989</v>
      </c>
      <c r="M588" s="20">
        <v>156</v>
      </c>
      <c r="N588" s="20">
        <v>364.8</v>
      </c>
      <c r="O588" s="20">
        <v>850.80000000000007</v>
      </c>
      <c r="P588" s="20">
        <v>0</v>
      </c>
      <c r="Q588" s="19">
        <f t="shared" si="86"/>
        <v>709.2</v>
      </c>
      <c r="R588" s="19">
        <f t="shared" si="87"/>
        <v>7875.2</v>
      </c>
      <c r="S588" s="19">
        <f t="shared" si="88"/>
        <v>1858.8</v>
      </c>
      <c r="T588" s="19">
        <f t="shared" si="89"/>
        <v>4124.8</v>
      </c>
      <c r="U588" s="22" t="s">
        <v>30</v>
      </c>
    </row>
    <row r="589" spans="1:21" ht="15.75" customHeight="1">
      <c r="A589" s="17">
        <v>574</v>
      </c>
      <c r="B589" s="21" t="s">
        <v>691</v>
      </c>
      <c r="C589" s="21" t="s">
        <v>692</v>
      </c>
      <c r="D589" s="21" t="s">
        <v>568</v>
      </c>
      <c r="E589" s="22" t="s">
        <v>29</v>
      </c>
      <c r="F589" s="19">
        <v>90000</v>
      </c>
      <c r="G589" s="20">
        <v>9753.1200000000008</v>
      </c>
      <c r="H589" s="20">
        <v>25</v>
      </c>
      <c r="I589" s="20">
        <v>0</v>
      </c>
      <c r="J589" s="20">
        <v>0</v>
      </c>
      <c r="K589" s="20">
        <f t="shared" ref="K589:K629" si="90">F589*2.87%</f>
        <v>2583</v>
      </c>
      <c r="L589" s="20">
        <f t="shared" ref="L589:L629" si="91">F589*7.1%</f>
        <v>6389.9999999999991</v>
      </c>
      <c r="M589" s="20">
        <v>972.5</v>
      </c>
      <c r="N589" s="20">
        <v>2736</v>
      </c>
      <c r="O589" s="20">
        <v>6381</v>
      </c>
      <c r="P589" s="20">
        <v>0</v>
      </c>
      <c r="Q589" s="19">
        <f t="shared" ref="Q589:Q629" si="92">K589+N589</f>
        <v>5319</v>
      </c>
      <c r="R589" s="19">
        <f t="shared" ref="R589:R629" si="93">G589+H589+I589+J589+K589+N589+P589</f>
        <v>15097.12</v>
      </c>
      <c r="S589" s="19">
        <f t="shared" ref="S589:S629" si="94">L589+M589+O589</f>
        <v>13743.5</v>
      </c>
      <c r="T589" s="19">
        <f t="shared" ref="T589:T629" si="95">F589-R589</f>
        <v>74902.880000000005</v>
      </c>
      <c r="U589" s="22" t="s">
        <v>36</v>
      </c>
    </row>
    <row r="590" spans="1:21" ht="15.75" customHeight="1">
      <c r="A590" s="21">
        <v>575</v>
      </c>
      <c r="B590" s="21" t="s">
        <v>693</v>
      </c>
      <c r="C590" s="21" t="s">
        <v>355</v>
      </c>
      <c r="D590" s="21" t="s">
        <v>78</v>
      </c>
      <c r="E590" s="22" t="s">
        <v>29</v>
      </c>
      <c r="F590" s="19">
        <v>10000</v>
      </c>
      <c r="G590" s="20">
        <v>0</v>
      </c>
      <c r="H590" s="20">
        <v>25</v>
      </c>
      <c r="I590" s="20">
        <v>0</v>
      </c>
      <c r="J590" s="20">
        <v>0</v>
      </c>
      <c r="K590" s="20">
        <f t="shared" si="90"/>
        <v>287</v>
      </c>
      <c r="L590" s="20">
        <f t="shared" si="91"/>
        <v>709.99999999999989</v>
      </c>
      <c r="M590" s="20">
        <v>130</v>
      </c>
      <c r="N590" s="20">
        <v>304</v>
      </c>
      <c r="O590" s="20">
        <v>709</v>
      </c>
      <c r="P590" s="20">
        <v>0</v>
      </c>
      <c r="Q590" s="19">
        <f t="shared" si="92"/>
        <v>591</v>
      </c>
      <c r="R590" s="19">
        <f t="shared" si="93"/>
        <v>616</v>
      </c>
      <c r="S590" s="19">
        <f t="shared" si="94"/>
        <v>1549</v>
      </c>
      <c r="T590" s="19">
        <f t="shared" si="95"/>
        <v>9384</v>
      </c>
      <c r="U590" s="22" t="s">
        <v>30</v>
      </c>
    </row>
    <row r="591" spans="1:21" ht="15.75" customHeight="1">
      <c r="A591" s="21">
        <v>576</v>
      </c>
      <c r="B591" s="21" t="s">
        <v>694</v>
      </c>
      <c r="C591" s="21" t="s">
        <v>66</v>
      </c>
      <c r="D591" s="21" t="s">
        <v>72</v>
      </c>
      <c r="E591" s="22" t="s">
        <v>29</v>
      </c>
      <c r="F591" s="19">
        <v>12000</v>
      </c>
      <c r="G591" s="20">
        <v>0</v>
      </c>
      <c r="H591" s="20">
        <v>25</v>
      </c>
      <c r="I591" s="20">
        <v>0</v>
      </c>
      <c r="J591" s="20">
        <f>300+1000+2625.53</f>
        <v>3925.53</v>
      </c>
      <c r="K591" s="20">
        <f t="shared" si="90"/>
        <v>344.4</v>
      </c>
      <c r="L591" s="20">
        <f t="shared" si="91"/>
        <v>851.99999999999989</v>
      </c>
      <c r="M591" s="20">
        <v>156</v>
      </c>
      <c r="N591" s="20">
        <v>364.8</v>
      </c>
      <c r="O591" s="20">
        <v>850.80000000000007</v>
      </c>
      <c r="P591" s="20">
        <v>0</v>
      </c>
      <c r="Q591" s="19">
        <f t="shared" si="92"/>
        <v>709.2</v>
      </c>
      <c r="R591" s="19">
        <f t="shared" si="93"/>
        <v>4659.7300000000005</v>
      </c>
      <c r="S591" s="19">
        <f t="shared" si="94"/>
        <v>1858.8</v>
      </c>
      <c r="T591" s="19">
        <f t="shared" si="95"/>
        <v>7340.2699999999995</v>
      </c>
      <c r="U591" s="22" t="s">
        <v>36</v>
      </c>
    </row>
    <row r="592" spans="1:21" ht="15.75" customHeight="1">
      <c r="A592" s="17">
        <v>577</v>
      </c>
      <c r="B592" s="21" t="s">
        <v>695</v>
      </c>
      <c r="C592" s="21" t="s">
        <v>68</v>
      </c>
      <c r="D592" s="21" t="s">
        <v>61</v>
      </c>
      <c r="E592" s="22" t="s">
        <v>29</v>
      </c>
      <c r="F592" s="19">
        <v>20000</v>
      </c>
      <c r="G592" s="20">
        <v>0</v>
      </c>
      <c r="H592" s="20">
        <v>25</v>
      </c>
      <c r="I592" s="20">
        <v>0</v>
      </c>
      <c r="J592" s="20">
        <f>1200+300+1224.51</f>
        <v>2724.51</v>
      </c>
      <c r="K592" s="20">
        <f t="shared" si="90"/>
        <v>574</v>
      </c>
      <c r="L592" s="20">
        <f t="shared" si="91"/>
        <v>1419.9999999999998</v>
      </c>
      <c r="M592" s="20">
        <v>260</v>
      </c>
      <c r="N592" s="20">
        <v>608</v>
      </c>
      <c r="O592" s="20">
        <v>1418</v>
      </c>
      <c r="P592" s="20">
        <v>0</v>
      </c>
      <c r="Q592" s="19">
        <f t="shared" si="92"/>
        <v>1182</v>
      </c>
      <c r="R592" s="19">
        <f t="shared" si="93"/>
        <v>3931.51</v>
      </c>
      <c r="S592" s="19">
        <f t="shared" si="94"/>
        <v>3098</v>
      </c>
      <c r="T592" s="19">
        <f t="shared" si="95"/>
        <v>16068.49</v>
      </c>
      <c r="U592" s="22" t="s">
        <v>36</v>
      </c>
    </row>
    <row r="593" spans="1:21" ht="15.75" customHeight="1">
      <c r="A593" s="21">
        <v>578</v>
      </c>
      <c r="B593" s="21" t="s">
        <v>696</v>
      </c>
      <c r="C593" s="21" t="s">
        <v>171</v>
      </c>
      <c r="D593" s="21" t="s">
        <v>172</v>
      </c>
      <c r="E593" s="22" t="s">
        <v>29</v>
      </c>
      <c r="F593" s="19">
        <v>15000</v>
      </c>
      <c r="G593" s="20">
        <v>0</v>
      </c>
      <c r="H593" s="20">
        <v>25</v>
      </c>
      <c r="I593" s="20">
        <v>0</v>
      </c>
      <c r="J593" s="20">
        <v>0</v>
      </c>
      <c r="K593" s="20">
        <f t="shared" si="90"/>
        <v>430.5</v>
      </c>
      <c r="L593" s="20">
        <f t="shared" si="91"/>
        <v>1065</v>
      </c>
      <c r="M593" s="20">
        <v>195</v>
      </c>
      <c r="N593" s="20">
        <v>456</v>
      </c>
      <c r="O593" s="20">
        <v>1063.5</v>
      </c>
      <c r="P593" s="20">
        <v>0</v>
      </c>
      <c r="Q593" s="19">
        <f t="shared" si="92"/>
        <v>886.5</v>
      </c>
      <c r="R593" s="19">
        <f t="shared" si="93"/>
        <v>911.5</v>
      </c>
      <c r="S593" s="19">
        <f t="shared" si="94"/>
        <v>2323.5</v>
      </c>
      <c r="T593" s="19">
        <f t="shared" si="95"/>
        <v>14088.5</v>
      </c>
      <c r="U593" s="22" t="s">
        <v>30</v>
      </c>
    </row>
    <row r="594" spans="1:21" ht="15.75" customHeight="1">
      <c r="A594" s="21">
        <v>579</v>
      </c>
      <c r="B594" s="21" t="s">
        <v>697</v>
      </c>
      <c r="C594" s="21" t="s">
        <v>68</v>
      </c>
      <c r="D594" s="21" t="s">
        <v>49</v>
      </c>
      <c r="E594" s="22" t="s">
        <v>29</v>
      </c>
      <c r="F594" s="19">
        <v>20000</v>
      </c>
      <c r="G594" s="20">
        <v>0</v>
      </c>
      <c r="H594" s="20">
        <v>25</v>
      </c>
      <c r="I594" s="20">
        <v>0</v>
      </c>
      <c r="J594" s="20">
        <f>1000+300</f>
        <v>1300</v>
      </c>
      <c r="K594" s="20">
        <f t="shared" si="90"/>
        <v>574</v>
      </c>
      <c r="L594" s="20">
        <f t="shared" si="91"/>
        <v>1419.9999999999998</v>
      </c>
      <c r="M594" s="20">
        <v>260</v>
      </c>
      <c r="N594" s="20">
        <v>608</v>
      </c>
      <c r="O594" s="20">
        <v>1418</v>
      </c>
      <c r="P594" s="20">
        <v>0</v>
      </c>
      <c r="Q594" s="19">
        <f t="shared" si="92"/>
        <v>1182</v>
      </c>
      <c r="R594" s="19">
        <f t="shared" si="93"/>
        <v>2507</v>
      </c>
      <c r="S594" s="19">
        <f t="shared" si="94"/>
        <v>3098</v>
      </c>
      <c r="T594" s="19">
        <f t="shared" si="95"/>
        <v>17493</v>
      </c>
      <c r="U594" s="22" t="s">
        <v>30</v>
      </c>
    </row>
    <row r="595" spans="1:21" ht="15.75" customHeight="1">
      <c r="A595" s="17">
        <v>580</v>
      </c>
      <c r="B595" s="21" t="s">
        <v>698</v>
      </c>
      <c r="C595" s="21" t="s">
        <v>77</v>
      </c>
      <c r="D595" s="21" t="s">
        <v>61</v>
      </c>
      <c r="E595" s="22" t="s">
        <v>29</v>
      </c>
      <c r="F595" s="19">
        <v>12000</v>
      </c>
      <c r="G595" s="20">
        <v>0</v>
      </c>
      <c r="H595" s="20">
        <v>25</v>
      </c>
      <c r="I595" s="20">
        <v>0</v>
      </c>
      <c r="J595" s="20">
        <v>0</v>
      </c>
      <c r="K595" s="20">
        <f t="shared" si="90"/>
        <v>344.4</v>
      </c>
      <c r="L595" s="20">
        <f t="shared" si="91"/>
        <v>851.99999999999989</v>
      </c>
      <c r="M595" s="20">
        <v>156</v>
      </c>
      <c r="N595" s="20">
        <v>364.8</v>
      </c>
      <c r="O595" s="20">
        <v>850.80000000000007</v>
      </c>
      <c r="P595" s="20">
        <v>0</v>
      </c>
      <c r="Q595" s="19">
        <f t="shared" si="92"/>
        <v>709.2</v>
      </c>
      <c r="R595" s="19">
        <f t="shared" si="93"/>
        <v>734.2</v>
      </c>
      <c r="S595" s="19">
        <f t="shared" si="94"/>
        <v>1858.8</v>
      </c>
      <c r="T595" s="19">
        <f t="shared" si="95"/>
        <v>11265.8</v>
      </c>
      <c r="U595" s="22" t="s">
        <v>30</v>
      </c>
    </row>
    <row r="596" spans="1:21" ht="15.75" customHeight="1">
      <c r="A596" s="21">
        <v>581</v>
      </c>
      <c r="B596" s="21" t="s">
        <v>699</v>
      </c>
      <c r="C596" s="21" t="s">
        <v>88</v>
      </c>
      <c r="D596" s="21" t="s">
        <v>61</v>
      </c>
      <c r="E596" s="22" t="s">
        <v>29</v>
      </c>
      <c r="F596" s="19">
        <v>10000</v>
      </c>
      <c r="G596" s="20">
        <v>0</v>
      </c>
      <c r="H596" s="20">
        <v>25</v>
      </c>
      <c r="I596" s="20">
        <v>0</v>
      </c>
      <c r="J596" s="20">
        <v>0</v>
      </c>
      <c r="K596" s="20">
        <f t="shared" si="90"/>
        <v>287</v>
      </c>
      <c r="L596" s="20">
        <f t="shared" si="91"/>
        <v>709.99999999999989</v>
      </c>
      <c r="M596" s="20">
        <v>130</v>
      </c>
      <c r="N596" s="20">
        <v>304</v>
      </c>
      <c r="O596" s="20">
        <v>709</v>
      </c>
      <c r="P596" s="20">
        <v>0</v>
      </c>
      <c r="Q596" s="19">
        <f t="shared" si="92"/>
        <v>591</v>
      </c>
      <c r="R596" s="19">
        <f t="shared" si="93"/>
        <v>616</v>
      </c>
      <c r="S596" s="19">
        <f t="shared" si="94"/>
        <v>1549</v>
      </c>
      <c r="T596" s="19">
        <f t="shared" si="95"/>
        <v>9384</v>
      </c>
      <c r="U596" s="22" t="s">
        <v>30</v>
      </c>
    </row>
    <row r="597" spans="1:21" ht="15.75" customHeight="1">
      <c r="A597" s="21">
        <v>582</v>
      </c>
      <c r="B597" s="21" t="s">
        <v>700</v>
      </c>
      <c r="C597" s="21" t="s">
        <v>701</v>
      </c>
      <c r="D597" s="21" t="s">
        <v>28</v>
      </c>
      <c r="E597" s="22" t="s">
        <v>302</v>
      </c>
      <c r="F597" s="19">
        <v>45000</v>
      </c>
      <c r="G597" s="20">
        <v>1148.33</v>
      </c>
      <c r="H597" s="20">
        <v>25</v>
      </c>
      <c r="I597" s="20">
        <v>0</v>
      </c>
      <c r="J597" s="20">
        <v>0</v>
      </c>
      <c r="K597" s="20">
        <f t="shared" si="90"/>
        <v>1291.5</v>
      </c>
      <c r="L597" s="20">
        <f t="shared" si="91"/>
        <v>3194.9999999999995</v>
      </c>
      <c r="M597" s="20">
        <v>585</v>
      </c>
      <c r="N597" s="20">
        <v>1368</v>
      </c>
      <c r="O597" s="20">
        <v>3190.5</v>
      </c>
      <c r="P597" s="20">
        <v>0</v>
      </c>
      <c r="Q597" s="19">
        <f t="shared" si="92"/>
        <v>2659.5</v>
      </c>
      <c r="R597" s="19">
        <f t="shared" si="93"/>
        <v>3832.83</v>
      </c>
      <c r="S597" s="19">
        <f t="shared" si="94"/>
        <v>6970.5</v>
      </c>
      <c r="T597" s="19">
        <f t="shared" si="95"/>
        <v>41167.17</v>
      </c>
      <c r="U597" s="22" t="s">
        <v>30</v>
      </c>
    </row>
    <row r="598" spans="1:21" ht="15.75" customHeight="1">
      <c r="A598" s="17">
        <v>583</v>
      </c>
      <c r="B598" s="21" t="s">
        <v>702</v>
      </c>
      <c r="C598" s="21" t="s">
        <v>48</v>
      </c>
      <c r="D598" s="21" t="s">
        <v>98</v>
      </c>
      <c r="E598" s="22" t="s">
        <v>29</v>
      </c>
      <c r="F598" s="19">
        <v>25000</v>
      </c>
      <c r="G598" s="20">
        <v>0</v>
      </c>
      <c r="H598" s="20">
        <v>25</v>
      </c>
      <c r="I598" s="20">
        <v>0</v>
      </c>
      <c r="J598" s="20">
        <v>0</v>
      </c>
      <c r="K598" s="20">
        <f t="shared" si="90"/>
        <v>717.5</v>
      </c>
      <c r="L598" s="20">
        <f t="shared" si="91"/>
        <v>1774.9999999999998</v>
      </c>
      <c r="M598" s="20">
        <v>325</v>
      </c>
      <c r="N598" s="20">
        <v>760</v>
      </c>
      <c r="O598" s="20">
        <v>1772.5000000000002</v>
      </c>
      <c r="P598" s="20">
        <v>0</v>
      </c>
      <c r="Q598" s="19">
        <f t="shared" si="92"/>
        <v>1477.5</v>
      </c>
      <c r="R598" s="19">
        <f t="shared" si="93"/>
        <v>1502.5</v>
      </c>
      <c r="S598" s="19">
        <f t="shared" si="94"/>
        <v>3872.5</v>
      </c>
      <c r="T598" s="19">
        <f t="shared" si="95"/>
        <v>23497.5</v>
      </c>
      <c r="U598" s="22" t="s">
        <v>36</v>
      </c>
    </row>
    <row r="599" spans="1:21" ht="15.75" customHeight="1">
      <c r="A599" s="21">
        <v>584</v>
      </c>
      <c r="B599" s="21" t="s">
        <v>703</v>
      </c>
      <c r="C599" s="21" t="s">
        <v>60</v>
      </c>
      <c r="D599" s="21" t="s">
        <v>61</v>
      </c>
      <c r="E599" s="22" t="s">
        <v>29</v>
      </c>
      <c r="F599" s="19">
        <v>25000</v>
      </c>
      <c r="G599" s="20">
        <v>0</v>
      </c>
      <c r="H599" s="20">
        <v>25</v>
      </c>
      <c r="I599" s="20">
        <v>0</v>
      </c>
      <c r="J599" s="20">
        <v>0</v>
      </c>
      <c r="K599" s="20">
        <f t="shared" si="90"/>
        <v>717.5</v>
      </c>
      <c r="L599" s="20">
        <f t="shared" si="91"/>
        <v>1774.9999999999998</v>
      </c>
      <c r="M599" s="20">
        <v>325</v>
      </c>
      <c r="N599" s="20">
        <v>760</v>
      </c>
      <c r="O599" s="20">
        <v>1772.5000000000002</v>
      </c>
      <c r="P599" s="20">
        <v>0</v>
      </c>
      <c r="Q599" s="19">
        <f t="shared" si="92"/>
        <v>1477.5</v>
      </c>
      <c r="R599" s="19">
        <f t="shared" si="93"/>
        <v>1502.5</v>
      </c>
      <c r="S599" s="19">
        <f t="shared" si="94"/>
        <v>3872.5</v>
      </c>
      <c r="T599" s="19">
        <f t="shared" si="95"/>
        <v>23497.5</v>
      </c>
      <c r="U599" s="22" t="s">
        <v>30</v>
      </c>
    </row>
    <row r="600" spans="1:21" ht="15.75" customHeight="1">
      <c r="A600" s="21">
        <v>585</v>
      </c>
      <c r="B600" s="21" t="s">
        <v>704</v>
      </c>
      <c r="C600" s="21" t="s">
        <v>63</v>
      </c>
      <c r="D600" s="21" t="s">
        <v>98</v>
      </c>
      <c r="E600" s="22" t="s">
        <v>29</v>
      </c>
      <c r="F600" s="19">
        <v>20000</v>
      </c>
      <c r="G600" s="20">
        <v>0</v>
      </c>
      <c r="H600" s="20">
        <v>25</v>
      </c>
      <c r="I600" s="20">
        <v>0</v>
      </c>
      <c r="J600" s="20">
        <f>800+300+2282.31+4088.73</f>
        <v>7471.04</v>
      </c>
      <c r="K600" s="20">
        <f t="shared" si="90"/>
        <v>574</v>
      </c>
      <c r="L600" s="20">
        <f t="shared" si="91"/>
        <v>1419.9999999999998</v>
      </c>
      <c r="M600" s="20">
        <v>260</v>
      </c>
      <c r="N600" s="20">
        <v>608</v>
      </c>
      <c r="O600" s="20">
        <v>1418</v>
      </c>
      <c r="P600" s="20">
        <v>0</v>
      </c>
      <c r="Q600" s="19">
        <f t="shared" si="92"/>
        <v>1182</v>
      </c>
      <c r="R600" s="19">
        <f t="shared" si="93"/>
        <v>8678.0400000000009</v>
      </c>
      <c r="S600" s="19">
        <f t="shared" si="94"/>
        <v>3098</v>
      </c>
      <c r="T600" s="19">
        <f t="shared" si="95"/>
        <v>11321.96</v>
      </c>
      <c r="U600" s="22" t="s">
        <v>30</v>
      </c>
    </row>
    <row r="601" spans="1:21" ht="15.75" customHeight="1">
      <c r="A601" s="17">
        <v>586</v>
      </c>
      <c r="B601" s="21" t="s">
        <v>705</v>
      </c>
      <c r="C601" s="21" t="s">
        <v>355</v>
      </c>
      <c r="D601" s="21" t="s">
        <v>78</v>
      </c>
      <c r="E601" s="22" t="s">
        <v>29</v>
      </c>
      <c r="F601" s="19">
        <v>10000</v>
      </c>
      <c r="G601" s="20">
        <v>0</v>
      </c>
      <c r="H601" s="20">
        <v>25</v>
      </c>
      <c r="I601" s="20">
        <v>0</v>
      </c>
      <c r="J601" s="20">
        <v>0</v>
      </c>
      <c r="K601" s="20">
        <f t="shared" si="90"/>
        <v>287</v>
      </c>
      <c r="L601" s="20">
        <f t="shared" si="91"/>
        <v>709.99999999999989</v>
      </c>
      <c r="M601" s="20">
        <v>130</v>
      </c>
      <c r="N601" s="20">
        <v>304</v>
      </c>
      <c r="O601" s="20">
        <v>709</v>
      </c>
      <c r="P601" s="20">
        <v>0</v>
      </c>
      <c r="Q601" s="19">
        <f t="shared" si="92"/>
        <v>591</v>
      </c>
      <c r="R601" s="19">
        <f t="shared" si="93"/>
        <v>616</v>
      </c>
      <c r="S601" s="19">
        <f t="shared" si="94"/>
        <v>1549</v>
      </c>
      <c r="T601" s="19">
        <f t="shared" si="95"/>
        <v>9384</v>
      </c>
      <c r="U601" s="22" t="s">
        <v>30</v>
      </c>
    </row>
    <row r="602" spans="1:21" ht="15.75" customHeight="1">
      <c r="A602" s="21">
        <v>587</v>
      </c>
      <c r="B602" s="21" t="s">
        <v>706</v>
      </c>
      <c r="C602" s="21" t="s">
        <v>88</v>
      </c>
      <c r="D602" s="21" t="s">
        <v>58</v>
      </c>
      <c r="E602" s="22" t="s">
        <v>29</v>
      </c>
      <c r="F602" s="19">
        <v>10000</v>
      </c>
      <c r="G602" s="20">
        <v>0</v>
      </c>
      <c r="H602" s="20">
        <v>25</v>
      </c>
      <c r="I602" s="20">
        <v>0</v>
      </c>
      <c r="J602" s="20">
        <f>1000+4265.56</f>
        <v>5265.56</v>
      </c>
      <c r="K602" s="20">
        <f t="shared" si="90"/>
        <v>287</v>
      </c>
      <c r="L602" s="20">
        <f t="shared" si="91"/>
        <v>709.99999999999989</v>
      </c>
      <c r="M602" s="20">
        <v>130</v>
      </c>
      <c r="N602" s="20">
        <v>304</v>
      </c>
      <c r="O602" s="20">
        <v>709</v>
      </c>
      <c r="P602" s="20">
        <v>0</v>
      </c>
      <c r="Q602" s="19">
        <f t="shared" si="92"/>
        <v>591</v>
      </c>
      <c r="R602" s="19">
        <f t="shared" si="93"/>
        <v>5881.56</v>
      </c>
      <c r="S602" s="19">
        <f t="shared" si="94"/>
        <v>1549</v>
      </c>
      <c r="T602" s="19">
        <f t="shared" si="95"/>
        <v>4118.4399999999996</v>
      </c>
      <c r="U602" s="22" t="s">
        <v>30</v>
      </c>
    </row>
    <row r="603" spans="1:21" ht="15.75" customHeight="1">
      <c r="A603" s="21">
        <v>588</v>
      </c>
      <c r="B603" s="21" t="s">
        <v>707</v>
      </c>
      <c r="C603" s="21" t="s">
        <v>355</v>
      </c>
      <c r="D603" s="21" t="s">
        <v>78</v>
      </c>
      <c r="E603" s="22" t="s">
        <v>29</v>
      </c>
      <c r="F603" s="19">
        <v>10000</v>
      </c>
      <c r="G603" s="20">
        <v>0</v>
      </c>
      <c r="H603" s="20">
        <v>25</v>
      </c>
      <c r="I603" s="20">
        <v>0</v>
      </c>
      <c r="J603" s="20">
        <v>0</v>
      </c>
      <c r="K603" s="20">
        <f t="shared" si="90"/>
        <v>287</v>
      </c>
      <c r="L603" s="20">
        <f t="shared" si="91"/>
        <v>709.99999999999989</v>
      </c>
      <c r="M603" s="20">
        <v>130</v>
      </c>
      <c r="N603" s="20">
        <v>304</v>
      </c>
      <c r="O603" s="20">
        <v>709</v>
      </c>
      <c r="P603" s="20">
        <v>0</v>
      </c>
      <c r="Q603" s="19">
        <f t="shared" si="92"/>
        <v>591</v>
      </c>
      <c r="R603" s="19">
        <f t="shared" si="93"/>
        <v>616</v>
      </c>
      <c r="S603" s="19">
        <f t="shared" si="94"/>
        <v>1549</v>
      </c>
      <c r="T603" s="19">
        <f t="shared" si="95"/>
        <v>9384</v>
      </c>
      <c r="U603" s="22" t="s">
        <v>30</v>
      </c>
    </row>
    <row r="604" spans="1:21" ht="15.75" customHeight="1">
      <c r="A604" s="17">
        <v>589</v>
      </c>
      <c r="B604" s="21" t="s">
        <v>708</v>
      </c>
      <c r="C604" s="21" t="s">
        <v>88</v>
      </c>
      <c r="D604" s="21" t="s">
        <v>52</v>
      </c>
      <c r="E604" s="22" t="s">
        <v>29</v>
      </c>
      <c r="F604" s="19">
        <v>12000</v>
      </c>
      <c r="G604" s="20">
        <v>0</v>
      </c>
      <c r="H604" s="20">
        <v>25</v>
      </c>
      <c r="I604" s="20">
        <v>0</v>
      </c>
      <c r="J604" s="20">
        <f>1300+300+1202.83</f>
        <v>2802.83</v>
      </c>
      <c r="K604" s="20">
        <f t="shared" si="90"/>
        <v>344.4</v>
      </c>
      <c r="L604" s="20">
        <f t="shared" si="91"/>
        <v>851.99999999999989</v>
      </c>
      <c r="M604" s="20">
        <v>156</v>
      </c>
      <c r="N604" s="20">
        <v>364.8</v>
      </c>
      <c r="O604" s="20">
        <v>850.80000000000007</v>
      </c>
      <c r="P604" s="20">
        <v>0</v>
      </c>
      <c r="Q604" s="19">
        <f t="shared" si="92"/>
        <v>709.2</v>
      </c>
      <c r="R604" s="19">
        <f t="shared" si="93"/>
        <v>3537.03</v>
      </c>
      <c r="S604" s="19">
        <f t="shared" si="94"/>
        <v>1858.8</v>
      </c>
      <c r="T604" s="19">
        <f t="shared" si="95"/>
        <v>8462.9699999999993</v>
      </c>
      <c r="U604" s="22" t="s">
        <v>30</v>
      </c>
    </row>
    <row r="605" spans="1:21" ht="15.75" customHeight="1">
      <c r="A605" s="21">
        <v>590</v>
      </c>
      <c r="B605" s="21" t="s">
        <v>709</v>
      </c>
      <c r="C605" s="21" t="s">
        <v>48</v>
      </c>
      <c r="D605" s="21" t="s">
        <v>28</v>
      </c>
      <c r="E605" s="22" t="s">
        <v>29</v>
      </c>
      <c r="F605" s="19">
        <v>20000</v>
      </c>
      <c r="G605" s="20">
        <v>0</v>
      </c>
      <c r="H605" s="20">
        <v>25</v>
      </c>
      <c r="I605" s="20">
        <v>0</v>
      </c>
      <c r="J605" s="20">
        <v>0</v>
      </c>
      <c r="K605" s="20">
        <f t="shared" si="90"/>
        <v>574</v>
      </c>
      <c r="L605" s="20">
        <f t="shared" si="91"/>
        <v>1419.9999999999998</v>
      </c>
      <c r="M605" s="20">
        <v>260</v>
      </c>
      <c r="N605" s="20">
        <v>608</v>
      </c>
      <c r="O605" s="20">
        <v>1418</v>
      </c>
      <c r="P605" s="20">
        <v>1366</v>
      </c>
      <c r="Q605" s="19">
        <f t="shared" si="92"/>
        <v>1182</v>
      </c>
      <c r="R605" s="19">
        <f t="shared" si="93"/>
        <v>2573</v>
      </c>
      <c r="S605" s="19">
        <f t="shared" si="94"/>
        <v>3098</v>
      </c>
      <c r="T605" s="19">
        <f t="shared" si="95"/>
        <v>17427</v>
      </c>
      <c r="U605" s="22" t="s">
        <v>36</v>
      </c>
    </row>
    <row r="606" spans="1:21" ht="15.75" customHeight="1">
      <c r="A606" s="21">
        <v>591</v>
      </c>
      <c r="B606" s="21" t="s">
        <v>710</v>
      </c>
      <c r="C606" s="21" t="s">
        <v>48</v>
      </c>
      <c r="D606" s="21" t="s">
        <v>554</v>
      </c>
      <c r="E606" s="22" t="s">
        <v>29</v>
      </c>
      <c r="F606" s="19">
        <v>20000</v>
      </c>
      <c r="G606" s="20">
        <v>0</v>
      </c>
      <c r="H606" s="20">
        <v>25</v>
      </c>
      <c r="I606" s="20">
        <v>0</v>
      </c>
      <c r="J606" s="20">
        <v>0</v>
      </c>
      <c r="K606" s="20">
        <f t="shared" si="90"/>
        <v>574</v>
      </c>
      <c r="L606" s="20">
        <f t="shared" si="91"/>
        <v>1419.9999999999998</v>
      </c>
      <c r="M606" s="20">
        <v>260</v>
      </c>
      <c r="N606" s="20">
        <v>608</v>
      </c>
      <c r="O606" s="20">
        <v>1418</v>
      </c>
      <c r="P606" s="20">
        <v>0</v>
      </c>
      <c r="Q606" s="19">
        <f t="shared" si="92"/>
        <v>1182</v>
      </c>
      <c r="R606" s="19">
        <f t="shared" si="93"/>
        <v>1207</v>
      </c>
      <c r="S606" s="19">
        <f t="shared" si="94"/>
        <v>3098</v>
      </c>
      <c r="T606" s="19">
        <f t="shared" si="95"/>
        <v>18793</v>
      </c>
      <c r="U606" s="22" t="s">
        <v>36</v>
      </c>
    </row>
    <row r="607" spans="1:21" ht="15.75" customHeight="1">
      <c r="A607" s="17">
        <v>592</v>
      </c>
      <c r="B607" s="21" t="s">
        <v>711</v>
      </c>
      <c r="C607" s="21" t="s">
        <v>68</v>
      </c>
      <c r="D607" s="21" t="s">
        <v>81</v>
      </c>
      <c r="E607" s="22" t="s">
        <v>29</v>
      </c>
      <c r="F607" s="19">
        <v>20000</v>
      </c>
      <c r="G607" s="20">
        <v>0</v>
      </c>
      <c r="H607" s="20">
        <v>25</v>
      </c>
      <c r="I607" s="20">
        <v>0</v>
      </c>
      <c r="J607" s="20">
        <f>1000+300</f>
        <v>1300</v>
      </c>
      <c r="K607" s="20">
        <f t="shared" si="90"/>
        <v>574</v>
      </c>
      <c r="L607" s="20">
        <f t="shared" si="91"/>
        <v>1419.9999999999998</v>
      </c>
      <c r="M607" s="20">
        <v>260</v>
      </c>
      <c r="N607" s="20">
        <v>608</v>
      </c>
      <c r="O607" s="20">
        <v>1418</v>
      </c>
      <c r="P607" s="20">
        <v>0</v>
      </c>
      <c r="Q607" s="19">
        <f t="shared" si="92"/>
        <v>1182</v>
      </c>
      <c r="R607" s="19">
        <f t="shared" si="93"/>
        <v>2507</v>
      </c>
      <c r="S607" s="19">
        <f t="shared" si="94"/>
        <v>3098</v>
      </c>
      <c r="T607" s="19">
        <f t="shared" si="95"/>
        <v>17493</v>
      </c>
      <c r="U607" s="22" t="s">
        <v>36</v>
      </c>
    </row>
    <row r="608" spans="1:21" ht="15.75" customHeight="1">
      <c r="A608" s="21">
        <v>593</v>
      </c>
      <c r="B608" s="21" t="s">
        <v>712</v>
      </c>
      <c r="C608" s="21" t="s">
        <v>68</v>
      </c>
      <c r="D608" s="21" t="s">
        <v>98</v>
      </c>
      <c r="E608" s="22" t="s">
        <v>29</v>
      </c>
      <c r="F608" s="19">
        <v>15000</v>
      </c>
      <c r="G608" s="20">
        <v>0</v>
      </c>
      <c r="H608" s="20">
        <v>25</v>
      </c>
      <c r="I608" s="20">
        <v>0</v>
      </c>
      <c r="J608" s="20">
        <v>0</v>
      </c>
      <c r="K608" s="20">
        <f t="shared" si="90"/>
        <v>430.5</v>
      </c>
      <c r="L608" s="20">
        <f t="shared" si="91"/>
        <v>1065</v>
      </c>
      <c r="M608" s="20">
        <v>195</v>
      </c>
      <c r="N608" s="20">
        <v>456</v>
      </c>
      <c r="O608" s="20">
        <v>1063.5</v>
      </c>
      <c r="P608" s="20">
        <v>0</v>
      </c>
      <c r="Q608" s="19">
        <f t="shared" si="92"/>
        <v>886.5</v>
      </c>
      <c r="R608" s="19">
        <f t="shared" si="93"/>
        <v>911.5</v>
      </c>
      <c r="S608" s="19">
        <f t="shared" si="94"/>
        <v>2323.5</v>
      </c>
      <c r="T608" s="19">
        <f t="shared" si="95"/>
        <v>14088.5</v>
      </c>
      <c r="U608" s="22" t="s">
        <v>36</v>
      </c>
    </row>
    <row r="609" spans="1:21" ht="15.75" customHeight="1">
      <c r="A609" s="21">
        <v>594</v>
      </c>
      <c r="B609" s="21" t="s">
        <v>713</v>
      </c>
      <c r="C609" s="21" t="s">
        <v>714</v>
      </c>
      <c r="D609" s="21" t="s">
        <v>78</v>
      </c>
      <c r="E609" s="22" t="s">
        <v>29</v>
      </c>
      <c r="F609" s="19">
        <v>20650</v>
      </c>
      <c r="G609" s="20">
        <v>0</v>
      </c>
      <c r="H609" s="20">
        <v>25</v>
      </c>
      <c r="I609" s="20">
        <v>0</v>
      </c>
      <c r="J609" s="20">
        <v>0</v>
      </c>
      <c r="K609" s="20">
        <f t="shared" si="90"/>
        <v>592.65499999999997</v>
      </c>
      <c r="L609" s="20">
        <f t="shared" si="91"/>
        <v>1466.1499999999999</v>
      </c>
      <c r="M609" s="20">
        <v>268.45</v>
      </c>
      <c r="N609" s="20">
        <v>627.76</v>
      </c>
      <c r="O609" s="20">
        <v>1464.085</v>
      </c>
      <c r="P609" s="20">
        <v>0</v>
      </c>
      <c r="Q609" s="19">
        <f t="shared" si="92"/>
        <v>1220.415</v>
      </c>
      <c r="R609" s="19">
        <f t="shared" si="93"/>
        <v>1245.415</v>
      </c>
      <c r="S609" s="19">
        <f t="shared" si="94"/>
        <v>3198.6849999999999</v>
      </c>
      <c r="T609" s="19">
        <f t="shared" si="95"/>
        <v>19404.584999999999</v>
      </c>
      <c r="U609" s="22" t="s">
        <v>36</v>
      </c>
    </row>
    <row r="610" spans="1:21" ht="15.75" customHeight="1">
      <c r="A610" s="17">
        <v>595</v>
      </c>
      <c r="B610" s="21" t="s">
        <v>715</v>
      </c>
      <c r="C610" s="21" t="s">
        <v>48</v>
      </c>
      <c r="D610" s="21" t="s">
        <v>172</v>
      </c>
      <c r="E610" s="22" t="s">
        <v>29</v>
      </c>
      <c r="F610" s="19">
        <v>15000</v>
      </c>
      <c r="G610" s="20">
        <v>0</v>
      </c>
      <c r="H610" s="20">
        <v>25</v>
      </c>
      <c r="I610" s="20">
        <v>0</v>
      </c>
      <c r="J610" s="20">
        <v>0</v>
      </c>
      <c r="K610" s="20">
        <f t="shared" si="90"/>
        <v>430.5</v>
      </c>
      <c r="L610" s="20">
        <f t="shared" si="91"/>
        <v>1065</v>
      </c>
      <c r="M610" s="20">
        <v>195</v>
      </c>
      <c r="N610" s="20">
        <v>456</v>
      </c>
      <c r="O610" s="20">
        <v>1063.5</v>
      </c>
      <c r="P610" s="20">
        <v>0</v>
      </c>
      <c r="Q610" s="19">
        <f t="shared" si="92"/>
        <v>886.5</v>
      </c>
      <c r="R610" s="19">
        <f t="shared" si="93"/>
        <v>911.5</v>
      </c>
      <c r="S610" s="19">
        <f t="shared" si="94"/>
        <v>2323.5</v>
      </c>
      <c r="T610" s="19">
        <f t="shared" si="95"/>
        <v>14088.5</v>
      </c>
      <c r="U610" s="22" t="s">
        <v>36</v>
      </c>
    </row>
    <row r="611" spans="1:21" ht="15.75" customHeight="1">
      <c r="A611" s="21">
        <v>596</v>
      </c>
      <c r="B611" s="21" t="s">
        <v>716</v>
      </c>
      <c r="C611" s="21" t="s">
        <v>88</v>
      </c>
      <c r="D611" s="21" t="s">
        <v>72</v>
      </c>
      <c r="E611" s="22" t="s">
        <v>29</v>
      </c>
      <c r="F611" s="19">
        <v>11550</v>
      </c>
      <c r="G611" s="20">
        <v>0</v>
      </c>
      <c r="H611" s="20">
        <v>25</v>
      </c>
      <c r="I611" s="20">
        <v>0</v>
      </c>
      <c r="J611" s="20">
        <f>1000+300+2086.1</f>
        <v>3386.1</v>
      </c>
      <c r="K611" s="20">
        <f t="shared" si="90"/>
        <v>331.48500000000001</v>
      </c>
      <c r="L611" s="20">
        <f t="shared" si="91"/>
        <v>820.05</v>
      </c>
      <c r="M611" s="20">
        <v>150.15</v>
      </c>
      <c r="N611" s="20">
        <v>351.12</v>
      </c>
      <c r="O611" s="20">
        <v>818.8950000000001</v>
      </c>
      <c r="P611" s="20">
        <v>0</v>
      </c>
      <c r="Q611" s="19">
        <f t="shared" si="92"/>
        <v>682.60500000000002</v>
      </c>
      <c r="R611" s="19">
        <f t="shared" si="93"/>
        <v>4093.7049999999999</v>
      </c>
      <c r="S611" s="19">
        <f t="shared" si="94"/>
        <v>1789.095</v>
      </c>
      <c r="T611" s="19">
        <f t="shared" si="95"/>
        <v>7456.2950000000001</v>
      </c>
      <c r="U611" s="22" t="s">
        <v>36</v>
      </c>
    </row>
    <row r="612" spans="1:21" ht="15.75" customHeight="1">
      <c r="A612" s="21">
        <v>597</v>
      </c>
      <c r="B612" s="21" t="s">
        <v>717</v>
      </c>
      <c r="C612" s="21" t="s">
        <v>283</v>
      </c>
      <c r="D612" s="21" t="s">
        <v>58</v>
      </c>
      <c r="E612" s="22" t="s">
        <v>29</v>
      </c>
      <c r="F612" s="19">
        <v>22000</v>
      </c>
      <c r="G612" s="20">
        <v>0</v>
      </c>
      <c r="H612" s="20">
        <v>25</v>
      </c>
      <c r="I612" s="20">
        <v>0</v>
      </c>
      <c r="J612" s="20">
        <f>300+9062.64</f>
        <v>9362.64</v>
      </c>
      <c r="K612" s="20">
        <f t="shared" si="90"/>
        <v>631.4</v>
      </c>
      <c r="L612" s="20">
        <f t="shared" si="91"/>
        <v>1561.9999999999998</v>
      </c>
      <c r="M612" s="20">
        <v>286</v>
      </c>
      <c r="N612" s="20">
        <v>668.8</v>
      </c>
      <c r="O612" s="20">
        <v>1559.8000000000002</v>
      </c>
      <c r="P612" s="20">
        <v>0</v>
      </c>
      <c r="Q612" s="19">
        <f t="shared" si="92"/>
        <v>1300.1999999999998</v>
      </c>
      <c r="R612" s="19">
        <f t="shared" si="93"/>
        <v>10687.839999999998</v>
      </c>
      <c r="S612" s="19">
        <f t="shared" si="94"/>
        <v>3407.8</v>
      </c>
      <c r="T612" s="19">
        <f t="shared" si="95"/>
        <v>11312.160000000002</v>
      </c>
      <c r="U612" s="22" t="s">
        <v>30</v>
      </c>
    </row>
    <row r="613" spans="1:21" ht="15.75" customHeight="1">
      <c r="A613" s="17">
        <v>598</v>
      </c>
      <c r="B613" s="21" t="s">
        <v>718</v>
      </c>
      <c r="C613" s="21" t="s">
        <v>68</v>
      </c>
      <c r="D613" s="21" t="s">
        <v>61</v>
      </c>
      <c r="E613" s="22" t="s">
        <v>29</v>
      </c>
      <c r="F613" s="19">
        <v>20000</v>
      </c>
      <c r="G613" s="20">
        <v>0</v>
      </c>
      <c r="H613" s="20">
        <v>25</v>
      </c>
      <c r="I613" s="20">
        <v>0</v>
      </c>
      <c r="J613" s="20">
        <v>0</v>
      </c>
      <c r="K613" s="20">
        <f t="shared" si="90"/>
        <v>574</v>
      </c>
      <c r="L613" s="20">
        <f t="shared" si="91"/>
        <v>1419.9999999999998</v>
      </c>
      <c r="M613" s="20">
        <v>260</v>
      </c>
      <c r="N613" s="20">
        <v>608</v>
      </c>
      <c r="O613" s="20">
        <v>1418</v>
      </c>
      <c r="P613" s="20">
        <v>0</v>
      </c>
      <c r="Q613" s="19">
        <f t="shared" si="92"/>
        <v>1182</v>
      </c>
      <c r="R613" s="19">
        <f t="shared" si="93"/>
        <v>1207</v>
      </c>
      <c r="S613" s="19">
        <f t="shared" si="94"/>
        <v>3098</v>
      </c>
      <c r="T613" s="19">
        <f t="shared" si="95"/>
        <v>18793</v>
      </c>
      <c r="U613" s="22" t="s">
        <v>36</v>
      </c>
    </row>
    <row r="614" spans="1:21" ht="15.75" customHeight="1">
      <c r="A614" s="21">
        <v>599</v>
      </c>
      <c r="B614" s="21" t="s">
        <v>719</v>
      </c>
      <c r="C614" s="21" t="s">
        <v>138</v>
      </c>
      <c r="D614" s="21" t="s">
        <v>58</v>
      </c>
      <c r="E614" s="22" t="s">
        <v>29</v>
      </c>
      <c r="F614" s="19">
        <v>15000</v>
      </c>
      <c r="G614" s="20">
        <v>0</v>
      </c>
      <c r="H614" s="20">
        <v>25</v>
      </c>
      <c r="I614" s="20">
        <v>0</v>
      </c>
      <c r="J614" s="20">
        <v>0</v>
      </c>
      <c r="K614" s="20">
        <f t="shared" si="90"/>
        <v>430.5</v>
      </c>
      <c r="L614" s="20">
        <f t="shared" si="91"/>
        <v>1065</v>
      </c>
      <c r="M614" s="20">
        <v>195</v>
      </c>
      <c r="N614" s="20">
        <v>456</v>
      </c>
      <c r="O614" s="20">
        <v>1063.5</v>
      </c>
      <c r="P614" s="20">
        <v>0</v>
      </c>
      <c r="Q614" s="19">
        <f t="shared" si="92"/>
        <v>886.5</v>
      </c>
      <c r="R614" s="19">
        <f t="shared" si="93"/>
        <v>911.5</v>
      </c>
      <c r="S614" s="19">
        <f t="shared" si="94"/>
        <v>2323.5</v>
      </c>
      <c r="T614" s="19">
        <f t="shared" si="95"/>
        <v>14088.5</v>
      </c>
      <c r="U614" s="22" t="s">
        <v>30</v>
      </c>
    </row>
    <row r="615" spans="1:21" ht="15.75" customHeight="1">
      <c r="A615" s="21">
        <v>600</v>
      </c>
      <c r="B615" s="21" t="s">
        <v>720</v>
      </c>
      <c r="C615" s="21" t="s">
        <v>71</v>
      </c>
      <c r="D615" s="21" t="s">
        <v>72</v>
      </c>
      <c r="E615" s="22" t="s">
        <v>29</v>
      </c>
      <c r="F615" s="19">
        <v>15000</v>
      </c>
      <c r="G615" s="20">
        <v>0</v>
      </c>
      <c r="H615" s="20">
        <v>25</v>
      </c>
      <c r="I615" s="20">
        <v>0</v>
      </c>
      <c r="J615" s="20">
        <v>0</v>
      </c>
      <c r="K615" s="20">
        <f t="shared" si="90"/>
        <v>430.5</v>
      </c>
      <c r="L615" s="20">
        <f t="shared" si="91"/>
        <v>1065</v>
      </c>
      <c r="M615" s="20">
        <v>195</v>
      </c>
      <c r="N615" s="20">
        <v>456</v>
      </c>
      <c r="O615" s="20">
        <v>1063.5</v>
      </c>
      <c r="P615" s="20">
        <v>0</v>
      </c>
      <c r="Q615" s="19">
        <f t="shared" si="92"/>
        <v>886.5</v>
      </c>
      <c r="R615" s="19">
        <f t="shared" si="93"/>
        <v>911.5</v>
      </c>
      <c r="S615" s="19">
        <f t="shared" si="94"/>
        <v>2323.5</v>
      </c>
      <c r="T615" s="19">
        <f t="shared" si="95"/>
        <v>14088.5</v>
      </c>
      <c r="U615" s="22" t="s">
        <v>36</v>
      </c>
    </row>
    <row r="616" spans="1:21" ht="15.75" customHeight="1">
      <c r="A616" s="17">
        <v>601</v>
      </c>
      <c r="B616" s="21" t="s">
        <v>721</v>
      </c>
      <c r="C616" s="21" t="s">
        <v>48</v>
      </c>
      <c r="D616" s="21" t="s">
        <v>78</v>
      </c>
      <c r="E616" s="22" t="s">
        <v>29</v>
      </c>
      <c r="F616" s="19">
        <v>15000</v>
      </c>
      <c r="G616" s="20">
        <v>0</v>
      </c>
      <c r="H616" s="20">
        <v>25</v>
      </c>
      <c r="I616" s="20">
        <v>0</v>
      </c>
      <c r="J616" s="20">
        <v>0</v>
      </c>
      <c r="K616" s="20">
        <f t="shared" si="90"/>
        <v>430.5</v>
      </c>
      <c r="L616" s="20">
        <f t="shared" si="91"/>
        <v>1065</v>
      </c>
      <c r="M616" s="20">
        <v>195</v>
      </c>
      <c r="N616" s="20">
        <v>456</v>
      </c>
      <c r="O616" s="20">
        <v>1063.5</v>
      </c>
      <c r="P616" s="20">
        <v>0</v>
      </c>
      <c r="Q616" s="19">
        <f t="shared" si="92"/>
        <v>886.5</v>
      </c>
      <c r="R616" s="19">
        <f t="shared" si="93"/>
        <v>911.5</v>
      </c>
      <c r="S616" s="19">
        <f t="shared" si="94"/>
        <v>2323.5</v>
      </c>
      <c r="T616" s="19">
        <f t="shared" si="95"/>
        <v>14088.5</v>
      </c>
      <c r="U616" s="22" t="s">
        <v>36</v>
      </c>
    </row>
    <row r="617" spans="1:21" ht="15.75" customHeight="1">
      <c r="A617" s="21">
        <v>602</v>
      </c>
      <c r="B617" s="21" t="s">
        <v>722</v>
      </c>
      <c r="C617" s="21" t="s">
        <v>692</v>
      </c>
      <c r="D617" s="21" t="s">
        <v>86</v>
      </c>
      <c r="E617" s="22" t="s">
        <v>29</v>
      </c>
      <c r="F617" s="19">
        <v>70000</v>
      </c>
      <c r="G617" s="20">
        <v>5368.48</v>
      </c>
      <c r="H617" s="20">
        <v>25</v>
      </c>
      <c r="I617" s="20">
        <v>0</v>
      </c>
      <c r="J617" s="20">
        <v>0</v>
      </c>
      <c r="K617" s="20">
        <f t="shared" si="90"/>
        <v>2009</v>
      </c>
      <c r="L617" s="20">
        <f t="shared" si="91"/>
        <v>4970</v>
      </c>
      <c r="M617" s="20">
        <v>910</v>
      </c>
      <c r="N617" s="20">
        <v>2128</v>
      </c>
      <c r="O617" s="20">
        <f>F617*7.09%</f>
        <v>4963</v>
      </c>
      <c r="P617" s="20">
        <v>0</v>
      </c>
      <c r="Q617" s="19">
        <f t="shared" si="92"/>
        <v>4137</v>
      </c>
      <c r="R617" s="19">
        <f t="shared" si="93"/>
        <v>9530.48</v>
      </c>
      <c r="S617" s="19">
        <f t="shared" si="94"/>
        <v>10843</v>
      </c>
      <c r="T617" s="19">
        <f t="shared" si="95"/>
        <v>60469.520000000004</v>
      </c>
      <c r="U617" s="22" t="s">
        <v>36</v>
      </c>
    </row>
    <row r="618" spans="1:21" ht="15.75" customHeight="1">
      <c r="A618" s="21">
        <v>603</v>
      </c>
      <c r="B618" s="21" t="s">
        <v>723</v>
      </c>
      <c r="C618" s="21" t="s">
        <v>88</v>
      </c>
      <c r="D618" s="21" t="s">
        <v>58</v>
      </c>
      <c r="E618" s="22" t="s">
        <v>29</v>
      </c>
      <c r="F618" s="19">
        <v>10000</v>
      </c>
      <c r="G618" s="20">
        <v>0</v>
      </c>
      <c r="H618" s="20">
        <v>25</v>
      </c>
      <c r="I618" s="20">
        <v>0</v>
      </c>
      <c r="J618" s="20">
        <f>300+1000+1939.69</f>
        <v>3239.69</v>
      </c>
      <c r="K618" s="20">
        <f t="shared" si="90"/>
        <v>287</v>
      </c>
      <c r="L618" s="20">
        <f t="shared" si="91"/>
        <v>709.99999999999989</v>
      </c>
      <c r="M618" s="20">
        <v>130</v>
      </c>
      <c r="N618" s="20">
        <v>304</v>
      </c>
      <c r="O618" s="20">
        <v>709</v>
      </c>
      <c r="P618" s="20">
        <v>0</v>
      </c>
      <c r="Q618" s="19">
        <f t="shared" si="92"/>
        <v>591</v>
      </c>
      <c r="R618" s="19">
        <f t="shared" si="93"/>
        <v>3855.69</v>
      </c>
      <c r="S618" s="19">
        <f t="shared" si="94"/>
        <v>1549</v>
      </c>
      <c r="T618" s="19">
        <f t="shared" si="95"/>
        <v>6144.3099999999995</v>
      </c>
      <c r="U618" s="22" t="s">
        <v>36</v>
      </c>
    </row>
    <row r="619" spans="1:21" ht="15.75" customHeight="1">
      <c r="A619" s="17">
        <v>604</v>
      </c>
      <c r="B619" s="21" t="s">
        <v>724</v>
      </c>
      <c r="C619" s="21" t="s">
        <v>68</v>
      </c>
      <c r="D619" s="21" t="s">
        <v>61</v>
      </c>
      <c r="E619" s="22" t="s">
        <v>29</v>
      </c>
      <c r="F619" s="19">
        <v>18000</v>
      </c>
      <c r="G619" s="20">
        <v>0</v>
      </c>
      <c r="H619" s="20">
        <v>25</v>
      </c>
      <c r="I619" s="20">
        <v>0</v>
      </c>
      <c r="J619" s="20">
        <v>0</v>
      </c>
      <c r="K619" s="20">
        <f t="shared" si="90"/>
        <v>516.6</v>
      </c>
      <c r="L619" s="20">
        <f t="shared" si="91"/>
        <v>1277.9999999999998</v>
      </c>
      <c r="M619" s="20">
        <v>234</v>
      </c>
      <c r="N619" s="20">
        <v>547.20000000000005</v>
      </c>
      <c r="O619" s="20">
        <v>1276.2</v>
      </c>
      <c r="P619" s="20">
        <v>0</v>
      </c>
      <c r="Q619" s="19">
        <f t="shared" si="92"/>
        <v>1063.8000000000002</v>
      </c>
      <c r="R619" s="19">
        <f t="shared" si="93"/>
        <v>1088.8000000000002</v>
      </c>
      <c r="S619" s="19">
        <f t="shared" si="94"/>
        <v>2788.2</v>
      </c>
      <c r="T619" s="19">
        <f t="shared" si="95"/>
        <v>16911.2</v>
      </c>
      <c r="U619" s="22" t="s">
        <v>36</v>
      </c>
    </row>
    <row r="620" spans="1:21" ht="15.75" customHeight="1">
      <c r="A620" s="21">
        <v>605</v>
      </c>
      <c r="B620" s="21" t="s">
        <v>725</v>
      </c>
      <c r="C620" s="21" t="s">
        <v>48</v>
      </c>
      <c r="D620" s="21" t="s">
        <v>52</v>
      </c>
      <c r="E620" s="22" t="s">
        <v>29</v>
      </c>
      <c r="F620" s="19">
        <v>20000</v>
      </c>
      <c r="G620" s="20">
        <v>0</v>
      </c>
      <c r="H620" s="20">
        <v>25</v>
      </c>
      <c r="I620" s="20">
        <v>0</v>
      </c>
      <c r="J620" s="20">
        <v>0</v>
      </c>
      <c r="K620" s="20">
        <f t="shared" si="90"/>
        <v>574</v>
      </c>
      <c r="L620" s="20">
        <f t="shared" si="91"/>
        <v>1419.9999999999998</v>
      </c>
      <c r="M620" s="20">
        <v>260</v>
      </c>
      <c r="N620" s="20">
        <v>608</v>
      </c>
      <c r="O620" s="20">
        <v>1418</v>
      </c>
      <c r="P620" s="20">
        <v>0</v>
      </c>
      <c r="Q620" s="19">
        <f t="shared" si="92"/>
        <v>1182</v>
      </c>
      <c r="R620" s="19">
        <f t="shared" si="93"/>
        <v>1207</v>
      </c>
      <c r="S620" s="19">
        <f t="shared" si="94"/>
        <v>3098</v>
      </c>
      <c r="T620" s="19">
        <f t="shared" si="95"/>
        <v>18793</v>
      </c>
      <c r="U620" s="22" t="s">
        <v>36</v>
      </c>
    </row>
    <row r="621" spans="1:21" ht="15.75" customHeight="1">
      <c r="A621" s="21">
        <v>606</v>
      </c>
      <c r="B621" s="21" t="s">
        <v>726</v>
      </c>
      <c r="C621" s="21" t="s">
        <v>504</v>
      </c>
      <c r="D621" s="21" t="s">
        <v>35</v>
      </c>
      <c r="E621" s="22" t="s">
        <v>29</v>
      </c>
      <c r="F621" s="19">
        <v>46000</v>
      </c>
      <c r="G621" s="20">
        <v>1289.46</v>
      </c>
      <c r="H621" s="20">
        <v>25</v>
      </c>
      <c r="I621" s="20">
        <v>0</v>
      </c>
      <c r="J621" s="20">
        <v>0</v>
      </c>
      <c r="K621" s="20">
        <f t="shared" si="90"/>
        <v>1320.2</v>
      </c>
      <c r="L621" s="20">
        <f t="shared" si="91"/>
        <v>3265.9999999999995</v>
      </c>
      <c r="M621" s="20">
        <v>598</v>
      </c>
      <c r="N621" s="20">
        <v>1398.4</v>
      </c>
      <c r="O621" s="20">
        <v>3261.4</v>
      </c>
      <c r="P621" s="20">
        <v>0</v>
      </c>
      <c r="Q621" s="19">
        <f t="shared" si="92"/>
        <v>2718.6000000000004</v>
      </c>
      <c r="R621" s="19">
        <f t="shared" si="93"/>
        <v>4033.06</v>
      </c>
      <c r="S621" s="19">
        <f t="shared" si="94"/>
        <v>7125.4</v>
      </c>
      <c r="T621" s="19">
        <f t="shared" si="95"/>
        <v>41966.94</v>
      </c>
      <c r="U621" s="22" t="s">
        <v>36</v>
      </c>
    </row>
    <row r="622" spans="1:21" ht="15.75" customHeight="1">
      <c r="A622" s="17">
        <v>607</v>
      </c>
      <c r="B622" s="21" t="s">
        <v>727</v>
      </c>
      <c r="C622" s="21" t="s">
        <v>88</v>
      </c>
      <c r="D622" s="21" t="s">
        <v>58</v>
      </c>
      <c r="E622" s="22" t="s">
        <v>29</v>
      </c>
      <c r="F622" s="19">
        <v>15000</v>
      </c>
      <c r="G622" s="20">
        <v>0</v>
      </c>
      <c r="H622" s="20">
        <v>25</v>
      </c>
      <c r="I622" s="20">
        <v>0</v>
      </c>
      <c r="J622" s="20">
        <v>0</v>
      </c>
      <c r="K622" s="20">
        <f t="shared" si="90"/>
        <v>430.5</v>
      </c>
      <c r="L622" s="20">
        <f t="shared" si="91"/>
        <v>1065</v>
      </c>
      <c r="M622" s="20">
        <v>195</v>
      </c>
      <c r="N622" s="20">
        <v>456</v>
      </c>
      <c r="O622" s="20">
        <v>1063.5</v>
      </c>
      <c r="P622" s="20">
        <v>0</v>
      </c>
      <c r="Q622" s="19">
        <f t="shared" si="92"/>
        <v>886.5</v>
      </c>
      <c r="R622" s="19">
        <f t="shared" si="93"/>
        <v>911.5</v>
      </c>
      <c r="S622" s="19">
        <f t="shared" si="94"/>
        <v>2323.5</v>
      </c>
      <c r="T622" s="19">
        <f t="shared" si="95"/>
        <v>14088.5</v>
      </c>
      <c r="U622" s="22" t="s">
        <v>36</v>
      </c>
    </row>
    <row r="623" spans="1:21" ht="15.75" customHeight="1">
      <c r="A623" s="21">
        <v>608</v>
      </c>
      <c r="B623" s="21" t="s">
        <v>728</v>
      </c>
      <c r="C623" s="21" t="s">
        <v>88</v>
      </c>
      <c r="D623" s="21" t="s">
        <v>72</v>
      </c>
      <c r="E623" s="22" t="s">
        <v>29</v>
      </c>
      <c r="F623" s="19">
        <v>12000</v>
      </c>
      <c r="G623" s="20">
        <v>0</v>
      </c>
      <c r="H623" s="20">
        <v>25</v>
      </c>
      <c r="I623" s="20">
        <v>0</v>
      </c>
      <c r="J623" s="20">
        <f>300+1000+2691.82</f>
        <v>3991.82</v>
      </c>
      <c r="K623" s="20">
        <f t="shared" si="90"/>
        <v>344.4</v>
      </c>
      <c r="L623" s="20">
        <f t="shared" si="91"/>
        <v>851.99999999999989</v>
      </c>
      <c r="M623" s="20">
        <v>156</v>
      </c>
      <c r="N623" s="20">
        <v>364.8</v>
      </c>
      <c r="O623" s="20">
        <v>850.80000000000007</v>
      </c>
      <c r="P623" s="20">
        <v>0</v>
      </c>
      <c r="Q623" s="19">
        <f t="shared" si="92"/>
        <v>709.2</v>
      </c>
      <c r="R623" s="19">
        <f t="shared" si="93"/>
        <v>4726.0200000000004</v>
      </c>
      <c r="S623" s="19">
        <f t="shared" si="94"/>
        <v>1858.8</v>
      </c>
      <c r="T623" s="19">
        <f t="shared" si="95"/>
        <v>7273.98</v>
      </c>
      <c r="U623" s="22" t="s">
        <v>36</v>
      </c>
    </row>
    <row r="624" spans="1:21" ht="15.75" customHeight="1">
      <c r="A624" s="21">
        <v>609</v>
      </c>
      <c r="B624" s="21" t="s">
        <v>729</v>
      </c>
      <c r="C624" s="21" t="s">
        <v>88</v>
      </c>
      <c r="D624" s="21" t="s">
        <v>58</v>
      </c>
      <c r="E624" s="22" t="s">
        <v>29</v>
      </c>
      <c r="F624" s="19">
        <v>11000</v>
      </c>
      <c r="G624" s="20">
        <v>0</v>
      </c>
      <c r="H624" s="20">
        <v>25</v>
      </c>
      <c r="I624" s="20">
        <v>820.82</v>
      </c>
      <c r="J624" s="20">
        <f>300+300+5340.64</f>
        <v>5940.64</v>
      </c>
      <c r="K624" s="20">
        <f t="shared" si="90"/>
        <v>315.7</v>
      </c>
      <c r="L624" s="20">
        <f t="shared" si="91"/>
        <v>780.99999999999989</v>
      </c>
      <c r="M624" s="20">
        <v>143</v>
      </c>
      <c r="N624" s="20">
        <v>334.4</v>
      </c>
      <c r="O624" s="20">
        <v>779.90000000000009</v>
      </c>
      <c r="P624" s="20">
        <v>0</v>
      </c>
      <c r="Q624" s="19">
        <f t="shared" si="92"/>
        <v>650.09999999999991</v>
      </c>
      <c r="R624" s="19">
        <f t="shared" si="93"/>
        <v>7436.5599999999995</v>
      </c>
      <c r="S624" s="19">
        <f t="shared" si="94"/>
        <v>1703.9</v>
      </c>
      <c r="T624" s="19">
        <f t="shared" si="95"/>
        <v>3563.4400000000005</v>
      </c>
      <c r="U624" s="22" t="s">
        <v>36</v>
      </c>
    </row>
    <row r="625" spans="1:26" ht="15.75" customHeight="1">
      <c r="A625" s="17">
        <v>610</v>
      </c>
      <c r="B625" s="21" t="s">
        <v>730</v>
      </c>
      <c r="C625" s="21" t="s">
        <v>68</v>
      </c>
      <c r="D625" s="21" t="s">
        <v>52</v>
      </c>
      <c r="E625" s="22" t="s">
        <v>29</v>
      </c>
      <c r="F625" s="19">
        <v>30000</v>
      </c>
      <c r="G625" s="20">
        <v>0</v>
      </c>
      <c r="H625" s="20">
        <v>25</v>
      </c>
      <c r="I625" s="20">
        <v>0</v>
      </c>
      <c r="J625" s="20">
        <v>0</v>
      </c>
      <c r="K625" s="20">
        <f t="shared" si="90"/>
        <v>861</v>
      </c>
      <c r="L625" s="20">
        <f t="shared" si="91"/>
        <v>2130</v>
      </c>
      <c r="M625" s="20">
        <v>390</v>
      </c>
      <c r="N625" s="20">
        <v>912</v>
      </c>
      <c r="O625" s="20">
        <v>2127</v>
      </c>
      <c r="P625" s="20">
        <v>0</v>
      </c>
      <c r="Q625" s="19">
        <f t="shared" si="92"/>
        <v>1773</v>
      </c>
      <c r="R625" s="19">
        <f t="shared" si="93"/>
        <v>1798</v>
      </c>
      <c r="S625" s="19">
        <f t="shared" si="94"/>
        <v>4647</v>
      </c>
      <c r="T625" s="19">
        <f t="shared" si="95"/>
        <v>28202</v>
      </c>
      <c r="U625" s="22" t="s">
        <v>36</v>
      </c>
    </row>
    <row r="626" spans="1:26" ht="15.75" customHeight="1">
      <c r="A626" s="21">
        <v>611</v>
      </c>
      <c r="B626" s="21" t="s">
        <v>731</v>
      </c>
      <c r="C626" s="21" t="s">
        <v>66</v>
      </c>
      <c r="D626" s="21" t="s">
        <v>72</v>
      </c>
      <c r="E626" s="22" t="s">
        <v>29</v>
      </c>
      <c r="F626" s="19">
        <v>20000</v>
      </c>
      <c r="G626" s="20">
        <v>0</v>
      </c>
      <c r="H626" s="20">
        <v>25</v>
      </c>
      <c r="I626" s="20">
        <v>0</v>
      </c>
      <c r="J626" s="20">
        <v>0</v>
      </c>
      <c r="K626" s="20">
        <f t="shared" si="90"/>
        <v>574</v>
      </c>
      <c r="L626" s="20">
        <f t="shared" si="91"/>
        <v>1419.9999999999998</v>
      </c>
      <c r="M626" s="20">
        <v>260</v>
      </c>
      <c r="N626" s="20">
        <v>608</v>
      </c>
      <c r="O626" s="20">
        <v>1418</v>
      </c>
      <c r="P626" s="20">
        <v>0</v>
      </c>
      <c r="Q626" s="19">
        <f t="shared" si="92"/>
        <v>1182</v>
      </c>
      <c r="R626" s="19">
        <f t="shared" si="93"/>
        <v>1207</v>
      </c>
      <c r="S626" s="19">
        <f t="shared" si="94"/>
        <v>3098</v>
      </c>
      <c r="T626" s="19">
        <f t="shared" si="95"/>
        <v>18793</v>
      </c>
      <c r="U626" s="22" t="s">
        <v>36</v>
      </c>
    </row>
    <row r="627" spans="1:26" ht="15.75" customHeight="1">
      <c r="A627" s="21">
        <v>612</v>
      </c>
      <c r="B627" s="21" t="s">
        <v>732</v>
      </c>
      <c r="C627" s="21" t="s">
        <v>66</v>
      </c>
      <c r="D627" s="21" t="s">
        <v>61</v>
      </c>
      <c r="E627" s="22" t="s">
        <v>29</v>
      </c>
      <c r="F627" s="19">
        <v>15000</v>
      </c>
      <c r="G627" s="20">
        <v>0</v>
      </c>
      <c r="H627" s="20">
        <v>25</v>
      </c>
      <c r="I627" s="20">
        <v>0</v>
      </c>
      <c r="J627" s="20">
        <v>0</v>
      </c>
      <c r="K627" s="20">
        <f t="shared" si="90"/>
        <v>430.5</v>
      </c>
      <c r="L627" s="20">
        <f t="shared" si="91"/>
        <v>1065</v>
      </c>
      <c r="M627" s="20">
        <v>195</v>
      </c>
      <c r="N627" s="20">
        <v>456</v>
      </c>
      <c r="O627" s="20">
        <v>1063.5</v>
      </c>
      <c r="P627" s="20">
        <v>0</v>
      </c>
      <c r="Q627" s="19">
        <f t="shared" si="92"/>
        <v>886.5</v>
      </c>
      <c r="R627" s="19">
        <f t="shared" si="93"/>
        <v>911.5</v>
      </c>
      <c r="S627" s="19">
        <f t="shared" si="94"/>
        <v>2323.5</v>
      </c>
      <c r="T627" s="19">
        <f t="shared" si="95"/>
        <v>14088.5</v>
      </c>
      <c r="U627" s="22" t="s">
        <v>30</v>
      </c>
    </row>
    <row r="628" spans="1:26" ht="15.75" customHeight="1">
      <c r="A628" s="17">
        <v>613</v>
      </c>
      <c r="B628" s="21" t="s">
        <v>733</v>
      </c>
      <c r="C628" s="21" t="s">
        <v>68</v>
      </c>
      <c r="D628" s="21" t="s">
        <v>135</v>
      </c>
      <c r="E628" s="22" t="s">
        <v>29</v>
      </c>
      <c r="F628" s="19">
        <v>15000</v>
      </c>
      <c r="G628" s="20">
        <v>0</v>
      </c>
      <c r="H628" s="20">
        <v>25</v>
      </c>
      <c r="I628" s="20">
        <v>0</v>
      </c>
      <c r="J628" s="20">
        <f>500+300+3147.12</f>
        <v>3947.12</v>
      </c>
      <c r="K628" s="20">
        <f t="shared" si="90"/>
        <v>430.5</v>
      </c>
      <c r="L628" s="20">
        <f t="shared" si="91"/>
        <v>1065</v>
      </c>
      <c r="M628" s="20">
        <v>195</v>
      </c>
      <c r="N628" s="20">
        <v>456</v>
      </c>
      <c r="O628" s="20">
        <v>1063.5</v>
      </c>
      <c r="P628" s="20">
        <v>0</v>
      </c>
      <c r="Q628" s="19">
        <f t="shared" si="92"/>
        <v>886.5</v>
      </c>
      <c r="R628" s="19">
        <f t="shared" si="93"/>
        <v>4858.62</v>
      </c>
      <c r="S628" s="19">
        <f t="shared" si="94"/>
        <v>2323.5</v>
      </c>
      <c r="T628" s="19">
        <f t="shared" si="95"/>
        <v>10141.380000000001</v>
      </c>
      <c r="U628" s="22" t="s">
        <v>36</v>
      </c>
    </row>
    <row r="629" spans="1:26" ht="15.75" customHeight="1">
      <c r="A629" s="21">
        <v>614</v>
      </c>
      <c r="B629" s="21" t="s">
        <v>734</v>
      </c>
      <c r="C629" s="21" t="s">
        <v>48</v>
      </c>
      <c r="D629" s="21" t="s">
        <v>41</v>
      </c>
      <c r="E629" s="22" t="s">
        <v>29</v>
      </c>
      <c r="F629" s="19">
        <v>45000</v>
      </c>
      <c r="G629" s="19">
        <v>910.22</v>
      </c>
      <c r="H629" s="19">
        <v>25</v>
      </c>
      <c r="I629" s="19">
        <v>0</v>
      </c>
      <c r="J629" s="19">
        <f>300+2477.88</f>
        <v>2777.88</v>
      </c>
      <c r="K629" s="19">
        <f t="shared" si="90"/>
        <v>1291.5</v>
      </c>
      <c r="L629" s="19">
        <f t="shared" si="91"/>
        <v>3194.9999999999995</v>
      </c>
      <c r="M629" s="19">
        <v>585</v>
      </c>
      <c r="N629" s="19">
        <v>1368</v>
      </c>
      <c r="O629" s="20">
        <v>3190.5</v>
      </c>
      <c r="P629" s="19">
        <v>1587.38</v>
      </c>
      <c r="Q629" s="19">
        <f t="shared" si="92"/>
        <v>2659.5</v>
      </c>
      <c r="R629" s="19">
        <f t="shared" si="93"/>
        <v>7959.9800000000005</v>
      </c>
      <c r="S629" s="19">
        <f t="shared" si="94"/>
        <v>6970.5</v>
      </c>
      <c r="T629" s="19">
        <f t="shared" si="95"/>
        <v>37040.019999999997</v>
      </c>
      <c r="U629" s="22" t="s">
        <v>36</v>
      </c>
    </row>
    <row r="630" spans="1:26" ht="15.75" customHeight="1">
      <c r="A630" s="32"/>
      <c r="B630" s="32"/>
      <c r="C630" s="32"/>
      <c r="D630" s="32"/>
      <c r="E630" s="33"/>
      <c r="F630" s="34"/>
      <c r="P630" s="27"/>
      <c r="T630" s="27"/>
      <c r="U630" s="33"/>
    </row>
    <row r="631" spans="1:26" ht="15.6">
      <c r="A631" s="32"/>
      <c r="B631" s="32"/>
      <c r="C631" s="32"/>
      <c r="D631" s="32"/>
      <c r="E631" s="33"/>
      <c r="F631" s="34"/>
      <c r="G631" s="34"/>
      <c r="H631" s="34"/>
      <c r="U631" s="33"/>
    </row>
    <row r="632" spans="1:26" ht="18" thickBot="1">
      <c r="A632" s="32"/>
      <c r="B632" s="32"/>
      <c r="C632" s="32"/>
      <c r="D632" s="32"/>
      <c r="E632" s="33"/>
      <c r="F632" s="35">
        <f>SUM(F16:F629)</f>
        <v>12915739.450000001</v>
      </c>
      <c r="G632" s="35">
        <f>SUM(G16:G629)</f>
        <v>306215.69999999995</v>
      </c>
      <c r="H632" s="35">
        <f>SUM(H16:H629)</f>
        <v>15450</v>
      </c>
      <c r="I632" s="35">
        <f>SUM(I16:I629)</f>
        <v>6218.2099999999991</v>
      </c>
      <c r="J632" s="35">
        <f>SUBTOTAL(9,J16:J629)</f>
        <v>715423.33000000007</v>
      </c>
      <c r="K632" s="35">
        <f>SUM(K16:K629)+0.01</f>
        <v>370681.73221500032</v>
      </c>
      <c r="L632" s="35">
        <f>SUM(L16:L629)</f>
        <v>917017.50095000002</v>
      </c>
      <c r="M632" s="35">
        <f>SUM(M16:M629)</f>
        <v>157149.62000000002</v>
      </c>
      <c r="N632" s="35">
        <f>SUM(N16:N629)</f>
        <v>391483.88928</v>
      </c>
      <c r="O632" s="35">
        <f>SUM(O16:O629)+0.01</f>
        <v>913033.15700500063</v>
      </c>
      <c r="P632" s="35">
        <f>SUM(P16:P629)</f>
        <v>55442.779999999984</v>
      </c>
      <c r="Q632" s="35">
        <f>SUM(Q16:Q629)+0.01</f>
        <v>762165.6214949995</v>
      </c>
      <c r="R632" s="35">
        <f>SUM(R16:R629)+0.01</f>
        <v>1860915.6414949999</v>
      </c>
      <c r="S632" s="35">
        <f>SUM(S16:S629)+0.01</f>
        <v>1987200.2779549994</v>
      </c>
      <c r="T632" s="35">
        <f>SUM(T16:T629)-0.01</f>
        <v>11054823.808505004</v>
      </c>
      <c r="U632" s="36"/>
    </row>
    <row r="633" spans="1:26" ht="16.2" thickTop="1">
      <c r="A633" s="37"/>
      <c r="B633" s="37"/>
      <c r="C633" s="37"/>
      <c r="D633" s="37"/>
      <c r="E633" s="37"/>
      <c r="M633" s="27"/>
      <c r="N633" s="26"/>
      <c r="O633" s="26"/>
      <c r="Q633" s="26"/>
      <c r="R633" s="27"/>
      <c r="T633" s="27"/>
    </row>
    <row r="634" spans="1:26">
      <c r="M634" s="26"/>
      <c r="P634" s="26"/>
      <c r="Q634" s="27"/>
      <c r="S634" s="27"/>
      <c r="Z634" s="38"/>
    </row>
    <row r="635" spans="1:26" ht="15.6">
      <c r="B635" s="39" t="s">
        <v>747</v>
      </c>
      <c r="C635" s="40"/>
      <c r="D635" s="41"/>
      <c r="G635" s="27"/>
      <c r="J635" s="26"/>
      <c r="P635" s="26"/>
    </row>
    <row r="636" spans="1:26" ht="15.6">
      <c r="B636" s="40"/>
      <c r="C636" s="40"/>
      <c r="D636" s="41"/>
      <c r="E636" s="42"/>
      <c r="J636" s="26"/>
      <c r="K636" s="26"/>
      <c r="P636" s="26"/>
    </row>
    <row r="637" spans="1:26" ht="15.6">
      <c r="B637" s="40"/>
      <c r="C637" s="40"/>
      <c r="D637" s="41"/>
      <c r="K637" s="26"/>
      <c r="P637" s="53"/>
      <c r="X637" s="26"/>
      <c r="Y637" s="26"/>
    </row>
    <row r="638" spans="1:26" ht="15.6">
      <c r="B638" s="39" t="s">
        <v>735</v>
      </c>
      <c r="C638" s="40"/>
      <c r="D638" s="41"/>
      <c r="K638" s="26"/>
      <c r="M638" s="27"/>
      <c r="N638" s="42"/>
      <c r="O638" s="42"/>
      <c r="P638" s="26"/>
    </row>
    <row r="639" spans="1:26" ht="15.6">
      <c r="B639" s="40" t="s">
        <v>736</v>
      </c>
      <c r="C639" s="40"/>
      <c r="D639" s="41"/>
      <c r="K639" s="26"/>
      <c r="M639" s="42"/>
      <c r="Q639" s="26"/>
    </row>
    <row r="640" spans="1:26" ht="15.6">
      <c r="B640" s="40" t="s">
        <v>737</v>
      </c>
      <c r="C640" s="40"/>
      <c r="D640" s="41"/>
      <c r="J640" s="26"/>
      <c r="K640" s="26"/>
      <c r="O640" s="42"/>
      <c r="P640" s="26"/>
    </row>
    <row r="641" spans="1:21" ht="15.6">
      <c r="B641" s="40" t="s">
        <v>738</v>
      </c>
      <c r="C641" s="40"/>
      <c r="D641" s="41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</row>
    <row r="642" spans="1:21" ht="15.6">
      <c r="B642" s="40" t="s">
        <v>739</v>
      </c>
      <c r="C642" s="40"/>
      <c r="D642" s="41"/>
      <c r="F642" s="34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</row>
    <row r="643" spans="1:21" ht="15.6">
      <c r="B643" s="44"/>
      <c r="C643" s="44"/>
      <c r="D643" s="45"/>
      <c r="F643" s="34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</row>
    <row r="644" spans="1:21" ht="15.6">
      <c r="B644" s="40"/>
      <c r="C644" s="40"/>
      <c r="D644" s="41"/>
      <c r="F644" s="34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</row>
    <row r="645" spans="1:21" ht="15.6">
      <c r="F645" s="34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</row>
    <row r="646" spans="1:21" ht="15.6">
      <c r="F646" s="34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</row>
    <row r="647" spans="1:21" ht="15.6">
      <c r="F647" s="34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</row>
    <row r="648" spans="1:21" ht="15.6">
      <c r="F648" s="34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</row>
    <row r="649" spans="1:21" ht="15.6">
      <c r="F649" s="34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37"/>
    </row>
    <row r="650" spans="1:21" ht="15.6">
      <c r="F650" s="34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37"/>
    </row>
    <row r="651" spans="1:21" ht="15.6">
      <c r="F651" s="34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37"/>
    </row>
    <row r="652" spans="1:21" ht="15.6">
      <c r="A652" s="37"/>
      <c r="B652" s="37"/>
      <c r="C652" s="37"/>
      <c r="D652" s="37"/>
      <c r="E652" s="37"/>
      <c r="F652" s="34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37"/>
    </row>
    <row r="653" spans="1:21" ht="15.6">
      <c r="A653" s="37"/>
      <c r="B653" s="37"/>
      <c r="C653" s="37"/>
      <c r="D653" s="37"/>
      <c r="E653" s="37"/>
      <c r="F653" s="34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37"/>
    </row>
    <row r="654" spans="1:21" ht="15.6">
      <c r="A654" s="37"/>
      <c r="B654" s="37"/>
      <c r="C654" s="37"/>
      <c r="D654" s="37"/>
      <c r="E654" s="37"/>
      <c r="F654" s="34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37"/>
    </row>
    <row r="655" spans="1:21" ht="15.6">
      <c r="A655" s="37"/>
      <c r="B655" s="37"/>
      <c r="C655" s="37"/>
      <c r="D655" s="37"/>
      <c r="E655" s="37"/>
      <c r="F655" s="34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37"/>
    </row>
    <row r="656" spans="1:21" ht="15.6">
      <c r="A656" s="37"/>
      <c r="B656" s="37"/>
      <c r="C656" s="37"/>
      <c r="D656" s="37"/>
      <c r="E656" s="37"/>
      <c r="F656" s="34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37"/>
    </row>
    <row r="657" spans="1:21" ht="15.6">
      <c r="A657" s="37"/>
      <c r="B657" s="37"/>
      <c r="C657" s="37"/>
      <c r="D657" s="37"/>
      <c r="E657" s="37"/>
      <c r="F657" s="34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37"/>
    </row>
    <row r="658" spans="1:21" ht="15.6">
      <c r="A658" s="37"/>
      <c r="B658" s="37"/>
      <c r="C658" s="37"/>
      <c r="D658" s="37"/>
      <c r="E658" s="37"/>
      <c r="F658" s="34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37"/>
    </row>
    <row r="659" spans="1:21" ht="15.6">
      <c r="A659" s="37"/>
      <c r="B659" s="37"/>
      <c r="C659" s="37"/>
      <c r="D659" s="37"/>
      <c r="E659" s="37"/>
      <c r="F659" s="34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37"/>
    </row>
    <row r="660" spans="1:21" ht="15.6">
      <c r="A660" s="37"/>
      <c r="B660" s="37"/>
      <c r="C660" s="37"/>
      <c r="D660" s="37"/>
      <c r="E660" s="37"/>
      <c r="F660" s="34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37"/>
    </row>
    <row r="661" spans="1:21" ht="15.6">
      <c r="A661" s="37"/>
      <c r="B661" s="37"/>
      <c r="C661" s="37"/>
      <c r="D661" s="37"/>
      <c r="E661" s="37"/>
      <c r="F661" s="34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37"/>
    </row>
    <row r="662" spans="1:21" ht="15.6">
      <c r="A662" s="37"/>
      <c r="B662" s="37"/>
      <c r="C662" s="37"/>
      <c r="D662" s="37"/>
      <c r="E662" s="37"/>
      <c r="F662" s="34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37"/>
    </row>
    <row r="663" spans="1:21" ht="15.6">
      <c r="A663" s="37"/>
      <c r="B663" s="37"/>
      <c r="C663" s="37"/>
      <c r="D663" s="37"/>
      <c r="E663" s="37"/>
      <c r="F663" s="34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37"/>
    </row>
    <row r="664" spans="1:21" ht="15.6">
      <c r="A664" s="37"/>
      <c r="B664" s="37"/>
      <c r="C664" s="37"/>
      <c r="D664" s="37"/>
      <c r="E664" s="37"/>
      <c r="F664" s="34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37"/>
    </row>
    <row r="665" spans="1:21" ht="15.6">
      <c r="A665" s="37"/>
      <c r="B665" s="37"/>
      <c r="C665" s="37"/>
      <c r="D665" s="37"/>
      <c r="E665" s="37"/>
      <c r="F665" s="34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37"/>
    </row>
    <row r="666" spans="1:21" ht="15.6">
      <c r="A666" s="37"/>
      <c r="B666" s="37"/>
      <c r="C666" s="37"/>
      <c r="D666" s="37"/>
      <c r="E666" s="37"/>
      <c r="F666" s="34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37"/>
    </row>
    <row r="667" spans="1:21" ht="15.6">
      <c r="A667" s="37"/>
      <c r="B667" s="37"/>
      <c r="C667" s="37"/>
      <c r="D667" s="37"/>
      <c r="E667" s="37"/>
      <c r="F667" s="34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37"/>
    </row>
    <row r="668" spans="1:21" ht="15.6">
      <c r="A668" s="37"/>
      <c r="B668" s="37"/>
      <c r="C668" s="37"/>
      <c r="D668" s="37"/>
      <c r="E668" s="37"/>
      <c r="F668" s="34"/>
      <c r="G668" s="43"/>
      <c r="H668" s="43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</row>
    <row r="669" spans="1:21" ht="15.6">
      <c r="A669" s="37"/>
      <c r="B669" s="37"/>
      <c r="C669" s="37"/>
      <c r="D669" s="37"/>
      <c r="E669" s="37"/>
      <c r="F669" s="46"/>
      <c r="G669" s="43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</row>
    <row r="670" spans="1:21" ht="15.6">
      <c r="A670" s="37"/>
      <c r="B670" s="37"/>
      <c r="C670" s="37"/>
      <c r="D670" s="37"/>
      <c r="E670" s="37"/>
      <c r="F670" s="46"/>
      <c r="G670" s="43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</row>
    <row r="671" spans="1:21" ht="15.6">
      <c r="A671" s="37"/>
      <c r="B671" s="37"/>
      <c r="C671" s="37"/>
      <c r="D671" s="37"/>
      <c r="E671" s="37"/>
      <c r="F671" s="46"/>
      <c r="G671" s="43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</row>
    <row r="672" spans="1:21" ht="15.6">
      <c r="A672" s="37"/>
      <c r="B672" s="37"/>
      <c r="C672" s="37"/>
      <c r="D672" s="37"/>
      <c r="E672" s="37"/>
      <c r="F672" s="46"/>
      <c r="G672" s="43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</row>
    <row r="673" spans="1:21" ht="15.6">
      <c r="A673" s="37"/>
      <c r="B673" s="37"/>
      <c r="C673" s="37"/>
      <c r="D673" s="37"/>
      <c r="E673" s="37"/>
      <c r="F673" s="46"/>
      <c r="G673" s="43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</row>
    <row r="674" spans="1:21" ht="15.6">
      <c r="A674" s="37"/>
      <c r="B674" s="37"/>
      <c r="C674" s="37"/>
      <c r="D674" s="37"/>
      <c r="E674" s="37"/>
      <c r="F674" s="46"/>
      <c r="G674" s="43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</row>
    <row r="675" spans="1:21" ht="15.6">
      <c r="A675" s="37"/>
      <c r="B675" s="37"/>
      <c r="C675" s="37"/>
      <c r="D675" s="37"/>
      <c r="E675" s="37"/>
      <c r="F675" s="46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</row>
    <row r="676" spans="1:21" ht="15.6">
      <c r="A676" s="37"/>
      <c r="B676" s="37"/>
      <c r="C676" s="37"/>
      <c r="D676" s="37"/>
      <c r="E676" s="37"/>
      <c r="F676" s="46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</row>
    <row r="677" spans="1:21" ht="15.6">
      <c r="A677" s="37"/>
      <c r="B677" s="37"/>
      <c r="C677" s="37"/>
      <c r="D677" s="37"/>
      <c r="E677" s="37"/>
      <c r="F677" s="46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</row>
    <row r="678" spans="1:21" ht="15.6">
      <c r="A678" s="37"/>
      <c r="B678" s="37"/>
      <c r="C678" s="37"/>
      <c r="D678" s="37"/>
      <c r="E678" s="37"/>
      <c r="F678" s="46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</row>
    <row r="679" spans="1:21" ht="15.6">
      <c r="A679" s="37"/>
      <c r="B679" s="37"/>
      <c r="C679" s="37"/>
      <c r="D679" s="37"/>
      <c r="E679" s="37"/>
      <c r="F679" s="46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</row>
    <row r="680" spans="1:21" ht="15.6">
      <c r="A680" s="37"/>
      <c r="B680" s="37"/>
      <c r="C680" s="37"/>
      <c r="D680" s="37"/>
      <c r="E680" s="37"/>
      <c r="F680" s="46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</row>
    <row r="681" spans="1:21" ht="15.6">
      <c r="A681" s="37"/>
      <c r="B681" s="37"/>
      <c r="C681" s="37"/>
      <c r="D681" s="37"/>
      <c r="E681" s="37"/>
      <c r="F681" s="46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</row>
    <row r="682" spans="1:21" ht="15.6">
      <c r="A682" s="37"/>
      <c r="B682" s="37"/>
      <c r="C682" s="37"/>
      <c r="D682" s="37"/>
      <c r="E682" s="37"/>
      <c r="F682" s="46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</row>
    <row r="683" spans="1:21" ht="15.6">
      <c r="A683" s="37"/>
      <c r="B683" s="37"/>
      <c r="C683" s="37"/>
      <c r="D683" s="37"/>
      <c r="E683" s="37"/>
      <c r="F683" s="46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</row>
    <row r="684" spans="1:21" ht="15.6">
      <c r="A684" s="37"/>
      <c r="B684" s="37"/>
      <c r="C684" s="37"/>
      <c r="D684" s="37"/>
      <c r="E684" s="37"/>
      <c r="F684" s="46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</row>
    <row r="685" spans="1:21" ht="15.6">
      <c r="A685" s="37"/>
      <c r="B685" s="37"/>
      <c r="C685" s="37"/>
      <c r="D685" s="37"/>
      <c r="E685" s="37"/>
      <c r="F685" s="46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</row>
    <row r="686" spans="1:21" ht="15.6">
      <c r="A686" s="37"/>
      <c r="B686" s="37"/>
      <c r="C686" s="37"/>
      <c r="D686" s="37"/>
      <c r="E686" s="37"/>
      <c r="F686" s="46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</row>
    <row r="687" spans="1:21" ht="15.6">
      <c r="A687" s="37"/>
      <c r="B687" s="37"/>
      <c r="C687" s="37"/>
      <c r="D687" s="37"/>
      <c r="E687" s="37"/>
      <c r="F687" s="46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</row>
    <row r="688" spans="1:21" ht="15.6">
      <c r="A688" s="37"/>
      <c r="B688" s="37"/>
      <c r="C688" s="37"/>
      <c r="D688" s="37"/>
      <c r="E688" s="37"/>
      <c r="F688" s="46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</row>
    <row r="689" spans="1:21" ht="15.6">
      <c r="A689" s="37"/>
      <c r="B689" s="37"/>
      <c r="C689" s="37"/>
      <c r="D689" s="37"/>
      <c r="E689" s="37"/>
      <c r="F689" s="46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</row>
    <row r="690" spans="1:21" ht="15.6">
      <c r="A690" s="37"/>
      <c r="B690" s="37"/>
      <c r="C690" s="37"/>
      <c r="D690" s="37"/>
      <c r="E690" s="37"/>
      <c r="F690" s="46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</row>
    <row r="691" spans="1:21" ht="15.6">
      <c r="A691" s="37"/>
      <c r="B691" s="37"/>
      <c r="C691" s="37"/>
      <c r="D691" s="37"/>
      <c r="E691" s="37"/>
      <c r="F691" s="46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</row>
    <row r="692" spans="1:21" ht="15.6">
      <c r="A692" s="37"/>
      <c r="B692" s="37"/>
      <c r="C692" s="37"/>
      <c r="D692" s="37"/>
      <c r="E692" s="37"/>
      <c r="F692" s="46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</row>
    <row r="693" spans="1:21" ht="15.6">
      <c r="A693" s="37"/>
      <c r="B693" s="37"/>
      <c r="C693" s="37"/>
      <c r="D693" s="37"/>
      <c r="E693" s="37"/>
      <c r="F693" s="46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</row>
    <row r="694" spans="1:21" ht="15.6">
      <c r="A694" s="37"/>
      <c r="B694" s="37"/>
      <c r="C694" s="37"/>
      <c r="D694" s="37"/>
      <c r="E694" s="37"/>
      <c r="F694" s="46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</row>
    <row r="695" spans="1:21" ht="15.6">
      <c r="A695" s="37"/>
      <c r="B695" s="37"/>
      <c r="C695" s="37"/>
      <c r="D695" s="37"/>
      <c r="E695" s="37"/>
      <c r="F695" s="46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</row>
    <row r="696" spans="1:21" ht="15.6">
      <c r="A696" s="37"/>
      <c r="B696" s="37"/>
      <c r="C696" s="37"/>
      <c r="D696" s="37"/>
      <c r="E696" s="37"/>
      <c r="F696" s="46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</row>
    <row r="697" spans="1:21" ht="15.6">
      <c r="A697" s="37"/>
      <c r="B697" s="37"/>
      <c r="C697" s="37"/>
      <c r="D697" s="37"/>
      <c r="E697" s="37"/>
      <c r="F697" s="46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</row>
    <row r="698" spans="1:21" ht="15.6">
      <c r="A698" s="37"/>
      <c r="B698" s="37"/>
      <c r="C698" s="37"/>
      <c r="D698" s="37"/>
      <c r="E698" s="37"/>
      <c r="F698" s="46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</row>
    <row r="699" spans="1:21" ht="15.6">
      <c r="A699" s="37"/>
      <c r="B699" s="37"/>
      <c r="C699" s="37"/>
      <c r="D699" s="37"/>
      <c r="E699" s="37"/>
      <c r="F699" s="46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</row>
    <row r="700" spans="1:21" ht="15.6">
      <c r="A700" s="37"/>
      <c r="B700" s="37"/>
      <c r="C700" s="37"/>
      <c r="D700" s="37"/>
      <c r="E700" s="37"/>
      <c r="F700" s="46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</row>
    <row r="701" spans="1:21" ht="15.6">
      <c r="A701" s="37"/>
      <c r="B701" s="37"/>
      <c r="C701" s="37"/>
      <c r="D701" s="37"/>
      <c r="E701" s="37"/>
      <c r="F701" s="46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</row>
    <row r="702" spans="1:21" ht="15.6">
      <c r="A702" s="37"/>
      <c r="B702" s="37"/>
      <c r="C702" s="37"/>
      <c r="D702" s="37"/>
      <c r="E702" s="37"/>
      <c r="F702" s="46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</row>
    <row r="703" spans="1:21" ht="15.6">
      <c r="A703" s="37"/>
      <c r="B703" s="37"/>
      <c r="C703" s="37"/>
      <c r="D703" s="37"/>
      <c r="E703" s="37"/>
      <c r="F703" s="46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</row>
    <row r="704" spans="1:21" ht="15.6">
      <c r="A704" s="37"/>
      <c r="B704" s="37"/>
      <c r="C704" s="37"/>
      <c r="D704" s="37"/>
      <c r="E704" s="37"/>
      <c r="F704" s="46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</row>
    <row r="705" spans="1:21" ht="15.6">
      <c r="A705" s="37"/>
      <c r="B705" s="37"/>
      <c r="C705" s="37"/>
      <c r="D705" s="37"/>
      <c r="E705" s="37"/>
      <c r="F705" s="46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</row>
    <row r="706" spans="1:21" ht="15.6">
      <c r="A706" s="37"/>
      <c r="B706" s="37"/>
      <c r="C706" s="37"/>
      <c r="D706" s="37"/>
      <c r="E706" s="37"/>
      <c r="F706" s="46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</row>
    <row r="707" spans="1:21" ht="15.6">
      <c r="A707" s="37"/>
      <c r="B707" s="37"/>
      <c r="C707" s="37"/>
      <c r="D707" s="37"/>
      <c r="E707" s="37"/>
      <c r="F707" s="46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</row>
    <row r="708" spans="1:21" ht="15.6">
      <c r="A708" s="37"/>
      <c r="B708" s="37"/>
      <c r="C708" s="37"/>
      <c r="D708" s="37"/>
      <c r="E708" s="37"/>
      <c r="F708" s="46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</row>
    <row r="709" spans="1:21" ht="15.6">
      <c r="A709" s="37"/>
      <c r="B709" s="37"/>
      <c r="C709" s="37"/>
      <c r="D709" s="37"/>
      <c r="E709" s="37"/>
      <c r="F709" s="46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</row>
    <row r="710" spans="1:21" ht="15.6">
      <c r="A710" s="37"/>
      <c r="B710" s="37"/>
      <c r="C710" s="37"/>
      <c r="D710" s="37"/>
      <c r="E710" s="37"/>
      <c r="F710" s="46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</row>
    <row r="711" spans="1:21" ht="15.6">
      <c r="A711" s="37"/>
      <c r="B711" s="37"/>
      <c r="C711" s="37"/>
      <c r="D711" s="37"/>
      <c r="E711" s="37"/>
      <c r="F711" s="46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</row>
    <row r="712" spans="1:21" ht="15.6">
      <c r="A712" s="37"/>
      <c r="B712" s="37"/>
      <c r="C712" s="37"/>
      <c r="D712" s="37"/>
      <c r="E712" s="37"/>
      <c r="F712" s="46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</row>
    <row r="713" spans="1:21" ht="15.6">
      <c r="A713" s="37"/>
      <c r="B713" s="37"/>
      <c r="C713" s="37"/>
      <c r="D713" s="37"/>
      <c r="E713" s="37"/>
      <c r="F713" s="46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</row>
    <row r="714" spans="1:21" ht="15.6">
      <c r="A714" s="37"/>
      <c r="B714" s="37"/>
      <c r="C714" s="37"/>
      <c r="D714" s="37"/>
      <c r="E714" s="37"/>
      <c r="F714" s="46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</row>
    <row r="715" spans="1:21" ht="15.6">
      <c r="A715" s="37"/>
      <c r="B715" s="37"/>
      <c r="C715" s="37"/>
      <c r="D715" s="37"/>
      <c r="E715" s="37"/>
      <c r="F715" s="46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</row>
    <row r="716" spans="1:21" ht="15.6">
      <c r="A716" s="37"/>
      <c r="B716" s="37"/>
      <c r="C716" s="37"/>
      <c r="D716" s="37"/>
      <c r="E716" s="37"/>
      <c r="F716" s="46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</row>
    <row r="717" spans="1:21" ht="15.6">
      <c r="A717" s="37"/>
      <c r="B717" s="37"/>
      <c r="C717" s="37"/>
      <c r="D717" s="37"/>
      <c r="E717" s="37"/>
      <c r="F717" s="46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</row>
    <row r="718" spans="1:21" ht="15.6">
      <c r="A718" s="37"/>
      <c r="B718" s="37"/>
      <c r="C718" s="37"/>
      <c r="D718" s="37"/>
      <c r="E718" s="37"/>
      <c r="F718" s="46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</row>
    <row r="719" spans="1:21" ht="15.6">
      <c r="A719" s="37"/>
      <c r="B719" s="37"/>
      <c r="C719" s="37"/>
      <c r="D719" s="37"/>
      <c r="E719" s="37"/>
      <c r="F719" s="46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</row>
    <row r="720" spans="1:21" ht="15.6">
      <c r="A720" s="37"/>
      <c r="B720" s="37"/>
      <c r="C720" s="37"/>
      <c r="D720" s="37"/>
      <c r="E720" s="37"/>
      <c r="F720" s="46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</row>
    <row r="721" spans="1:21" ht="15.6">
      <c r="A721" s="37"/>
      <c r="B721" s="37"/>
      <c r="C721" s="37"/>
      <c r="D721" s="37"/>
      <c r="E721" s="37"/>
      <c r="F721" s="46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</row>
    <row r="722" spans="1:21" ht="15.6">
      <c r="A722" s="37"/>
      <c r="B722" s="37"/>
      <c r="C722" s="37"/>
      <c r="D722" s="37"/>
      <c r="E722" s="37"/>
      <c r="F722" s="46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</row>
    <row r="723" spans="1:21" ht="15.6">
      <c r="A723" s="37"/>
      <c r="B723" s="37"/>
      <c r="C723" s="37"/>
      <c r="D723" s="37"/>
      <c r="E723" s="37"/>
      <c r="F723" s="46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</row>
    <row r="724" spans="1:21" ht="15.6">
      <c r="A724" s="37"/>
      <c r="B724" s="37"/>
      <c r="C724" s="37"/>
      <c r="D724" s="37"/>
      <c r="E724" s="37"/>
      <c r="F724" s="46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</row>
    <row r="725" spans="1:21" ht="15.6">
      <c r="A725" s="37"/>
      <c r="B725" s="37"/>
      <c r="C725" s="37"/>
      <c r="D725" s="37"/>
      <c r="E725" s="37"/>
      <c r="F725" s="46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</row>
    <row r="726" spans="1:21" ht="15.6">
      <c r="A726" s="37"/>
      <c r="B726" s="37"/>
      <c r="C726" s="37"/>
      <c r="D726" s="37"/>
      <c r="E726" s="37"/>
      <c r="F726" s="46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</row>
    <row r="727" spans="1:21" ht="15.6">
      <c r="A727" s="37"/>
      <c r="B727" s="37"/>
      <c r="C727" s="37"/>
      <c r="D727" s="37"/>
      <c r="E727" s="37"/>
      <c r="F727" s="46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</row>
    <row r="728" spans="1:21" ht="15.6">
      <c r="A728" s="37"/>
      <c r="B728" s="37"/>
      <c r="C728" s="37"/>
      <c r="D728" s="37"/>
      <c r="E728" s="37"/>
      <c r="F728" s="46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</row>
    <row r="729" spans="1:21" ht="15.6">
      <c r="A729" s="37"/>
      <c r="B729" s="37"/>
      <c r="C729" s="37"/>
      <c r="D729" s="37"/>
      <c r="E729" s="37"/>
      <c r="F729" s="46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</row>
    <row r="730" spans="1:21" ht="15.6">
      <c r="A730" s="37"/>
      <c r="B730" s="37"/>
      <c r="C730" s="37"/>
      <c r="D730" s="37"/>
      <c r="E730" s="37"/>
      <c r="F730" s="46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</row>
    <row r="731" spans="1:21" ht="15.6">
      <c r="A731" s="37"/>
      <c r="B731" s="37"/>
      <c r="C731" s="37"/>
      <c r="D731" s="37"/>
      <c r="E731" s="37"/>
      <c r="F731" s="46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</row>
    <row r="732" spans="1:21" ht="15.6">
      <c r="A732" s="37"/>
      <c r="B732" s="37"/>
      <c r="C732" s="37"/>
      <c r="D732" s="37"/>
      <c r="E732" s="37"/>
      <c r="F732" s="46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</row>
    <row r="733" spans="1:21" ht="15.6">
      <c r="A733" s="37"/>
      <c r="B733" s="37"/>
      <c r="C733" s="37"/>
      <c r="D733" s="37"/>
      <c r="E733" s="37"/>
      <c r="F733" s="46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</row>
    <row r="734" spans="1:21" ht="15.6">
      <c r="A734" s="37"/>
      <c r="B734" s="37"/>
      <c r="C734" s="37"/>
      <c r="D734" s="37"/>
      <c r="E734" s="37"/>
      <c r="F734" s="46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</row>
    <row r="735" spans="1:21" ht="15.6">
      <c r="A735" s="37"/>
      <c r="B735" s="37"/>
      <c r="C735" s="37"/>
      <c r="D735" s="37"/>
      <c r="E735" s="37"/>
      <c r="F735" s="46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</row>
    <row r="736" spans="1:21" ht="15.6">
      <c r="A736" s="37"/>
      <c r="B736" s="37"/>
      <c r="C736" s="37"/>
      <c r="D736" s="37"/>
      <c r="E736" s="37"/>
      <c r="F736" s="46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</row>
    <row r="737" spans="1:21" ht="15.6">
      <c r="A737" s="37"/>
      <c r="B737" s="37"/>
      <c r="C737" s="37"/>
      <c r="D737" s="37"/>
      <c r="E737" s="37"/>
      <c r="F737" s="46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</row>
    <row r="738" spans="1:21" ht="15.6">
      <c r="A738" s="37"/>
      <c r="B738" s="37"/>
      <c r="C738" s="37"/>
      <c r="D738" s="37"/>
      <c r="E738" s="37"/>
      <c r="F738" s="46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</row>
    <row r="739" spans="1:21" ht="15.6">
      <c r="A739" s="37"/>
      <c r="B739" s="37"/>
      <c r="C739" s="37"/>
      <c r="D739" s="37"/>
      <c r="E739" s="37"/>
      <c r="F739" s="46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</row>
    <row r="740" spans="1:21" ht="15.6">
      <c r="A740" s="37"/>
      <c r="B740" s="37"/>
      <c r="C740" s="37"/>
      <c r="D740" s="37"/>
      <c r="E740" s="37"/>
      <c r="F740" s="46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</row>
    <row r="741" spans="1:21" ht="15.6">
      <c r="A741" s="37"/>
      <c r="B741" s="37"/>
      <c r="C741" s="37"/>
      <c r="D741" s="37"/>
      <c r="E741" s="37"/>
      <c r="F741" s="46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</row>
    <row r="742" spans="1:21" ht="15.6">
      <c r="A742" s="37"/>
      <c r="B742" s="37"/>
      <c r="C742" s="37"/>
      <c r="D742" s="37"/>
      <c r="E742" s="37"/>
      <c r="F742" s="46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</row>
    <row r="743" spans="1:21" ht="15.6">
      <c r="A743" s="37"/>
      <c r="B743" s="37"/>
      <c r="C743" s="37"/>
      <c r="D743" s="37"/>
      <c r="E743" s="37"/>
      <c r="F743" s="46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</row>
    <row r="744" spans="1:21" ht="15.6">
      <c r="A744" s="37"/>
      <c r="B744" s="37"/>
      <c r="C744" s="37"/>
      <c r="D744" s="37"/>
      <c r="E744" s="37"/>
      <c r="F744" s="46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</row>
    <row r="745" spans="1:21" ht="15.6">
      <c r="A745" s="37"/>
      <c r="B745" s="37"/>
      <c r="C745" s="37"/>
      <c r="D745" s="37"/>
      <c r="E745" s="37"/>
      <c r="F745" s="46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</row>
    <row r="746" spans="1:21" ht="15.6">
      <c r="A746" s="37"/>
      <c r="B746" s="37"/>
      <c r="C746" s="37"/>
      <c r="D746" s="37"/>
      <c r="E746" s="37"/>
      <c r="F746" s="46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</row>
    <row r="747" spans="1:21" ht="15.6">
      <c r="A747" s="37"/>
      <c r="B747" s="37"/>
      <c r="C747" s="37"/>
      <c r="D747" s="37"/>
      <c r="E747" s="37"/>
      <c r="F747" s="46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</row>
    <row r="748" spans="1:21" ht="15.6">
      <c r="A748" s="37"/>
      <c r="B748" s="37"/>
      <c r="C748" s="37"/>
      <c r="D748" s="37"/>
      <c r="E748" s="37"/>
      <c r="F748" s="46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</row>
    <row r="749" spans="1:21" ht="15.6">
      <c r="A749" s="37"/>
      <c r="B749" s="37"/>
      <c r="C749" s="37"/>
      <c r="D749" s="37"/>
      <c r="E749" s="37"/>
      <c r="F749" s="46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</row>
    <row r="750" spans="1:21" ht="15.6">
      <c r="A750" s="37"/>
      <c r="B750" s="37"/>
      <c r="C750" s="37"/>
      <c r="D750" s="37"/>
      <c r="E750" s="37"/>
      <c r="F750" s="46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</row>
    <row r="751" spans="1:21" ht="15.6">
      <c r="A751" s="37"/>
      <c r="B751" s="37"/>
      <c r="C751" s="37"/>
      <c r="D751" s="37"/>
      <c r="E751" s="37"/>
      <c r="F751" s="46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</row>
    <row r="752" spans="1:21" ht="15.6">
      <c r="A752" s="37"/>
      <c r="B752" s="37"/>
      <c r="C752" s="37"/>
      <c r="D752" s="37"/>
      <c r="E752" s="37"/>
      <c r="F752" s="46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</row>
    <row r="753" spans="1:21" ht="15.6">
      <c r="A753" s="37"/>
      <c r="B753" s="37"/>
      <c r="C753" s="37"/>
      <c r="D753" s="37"/>
      <c r="E753" s="37"/>
      <c r="F753" s="46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</row>
    <row r="754" spans="1:21" ht="15.6">
      <c r="A754" s="37"/>
      <c r="B754" s="37"/>
      <c r="C754" s="37"/>
      <c r="D754" s="37"/>
      <c r="E754" s="37"/>
      <c r="F754" s="46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</row>
    <row r="755" spans="1:21" ht="15.6">
      <c r="A755" s="37"/>
      <c r="B755" s="37"/>
      <c r="C755" s="37"/>
      <c r="D755" s="37"/>
      <c r="E755" s="37"/>
      <c r="F755" s="46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</row>
    <row r="756" spans="1:21" ht="15.6">
      <c r="A756" s="37"/>
      <c r="B756" s="37"/>
      <c r="C756" s="37"/>
      <c r="D756" s="37"/>
      <c r="E756" s="37"/>
      <c r="F756" s="46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</row>
    <row r="757" spans="1:21" ht="15.6">
      <c r="A757" s="37"/>
      <c r="B757" s="37"/>
      <c r="C757" s="37"/>
      <c r="D757" s="37"/>
      <c r="E757" s="37"/>
      <c r="F757" s="46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</row>
    <row r="758" spans="1:21" ht="15.6">
      <c r="A758" s="37"/>
      <c r="B758" s="37"/>
      <c r="C758" s="37"/>
      <c r="D758" s="37"/>
      <c r="E758" s="37"/>
      <c r="F758" s="46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</row>
    <row r="759" spans="1:21" ht="15.6">
      <c r="A759" s="37"/>
      <c r="B759" s="37"/>
      <c r="C759" s="37"/>
      <c r="D759" s="37"/>
      <c r="E759" s="37"/>
      <c r="F759" s="46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</row>
    <row r="760" spans="1:21" ht="15.6">
      <c r="A760" s="37"/>
      <c r="B760" s="37"/>
      <c r="C760" s="37"/>
      <c r="D760" s="37"/>
      <c r="E760" s="37"/>
      <c r="F760" s="46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</row>
    <row r="761" spans="1:21" ht="15.6">
      <c r="A761" s="37"/>
      <c r="B761" s="37"/>
      <c r="C761" s="37"/>
      <c r="D761" s="37"/>
      <c r="E761" s="37"/>
      <c r="F761" s="46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</row>
    <row r="762" spans="1:21" ht="15.6">
      <c r="A762" s="37"/>
      <c r="B762" s="37"/>
      <c r="C762" s="37"/>
      <c r="D762" s="37"/>
      <c r="E762" s="37"/>
      <c r="F762" s="46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</row>
    <row r="763" spans="1:21" ht="15.6">
      <c r="A763" s="37"/>
      <c r="B763" s="37"/>
      <c r="C763" s="37"/>
      <c r="D763" s="37"/>
      <c r="E763" s="37"/>
      <c r="F763" s="46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</row>
    <row r="764" spans="1:21" ht="15.6">
      <c r="A764" s="37"/>
      <c r="B764" s="37"/>
      <c r="C764" s="37"/>
      <c r="D764" s="37"/>
      <c r="E764" s="37"/>
      <c r="F764" s="46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</row>
    <row r="765" spans="1:21" ht="15.6">
      <c r="A765" s="37"/>
      <c r="B765" s="37"/>
      <c r="C765" s="37"/>
      <c r="D765" s="37"/>
      <c r="E765" s="37"/>
      <c r="F765" s="46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</row>
    <row r="766" spans="1:21" ht="15.6">
      <c r="A766" s="37"/>
      <c r="B766" s="37"/>
      <c r="C766" s="37"/>
      <c r="D766" s="37"/>
      <c r="E766" s="37"/>
      <c r="F766" s="46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</row>
    <row r="767" spans="1:21" ht="15.6">
      <c r="A767" s="37"/>
      <c r="B767" s="37"/>
      <c r="C767" s="37"/>
      <c r="D767" s="37"/>
      <c r="E767" s="37"/>
      <c r="F767" s="46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</row>
    <row r="768" spans="1:21" ht="15.6">
      <c r="A768" s="37"/>
      <c r="B768" s="37"/>
      <c r="C768" s="37"/>
      <c r="D768" s="37"/>
      <c r="E768" s="37"/>
      <c r="F768" s="46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</row>
    <row r="769" spans="1:21" ht="15.6">
      <c r="A769" s="37"/>
      <c r="B769" s="37"/>
      <c r="C769" s="37"/>
      <c r="D769" s="37"/>
      <c r="E769" s="37"/>
      <c r="F769" s="46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</row>
    <row r="770" spans="1:21" ht="15.6">
      <c r="A770" s="37"/>
      <c r="B770" s="37"/>
      <c r="C770" s="37"/>
      <c r="D770" s="37"/>
      <c r="E770" s="37"/>
      <c r="F770" s="46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</row>
    <row r="771" spans="1:21" ht="15.6">
      <c r="A771" s="37"/>
      <c r="B771" s="37"/>
      <c r="C771" s="37"/>
      <c r="D771" s="37"/>
      <c r="E771" s="37"/>
      <c r="F771" s="46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</row>
    <row r="772" spans="1:21" ht="15.6">
      <c r="A772" s="37"/>
      <c r="B772" s="37"/>
      <c r="C772" s="37"/>
      <c r="D772" s="37"/>
      <c r="E772" s="37"/>
      <c r="F772" s="46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</row>
    <row r="773" spans="1:21" ht="15.6">
      <c r="A773" s="37"/>
      <c r="B773" s="37"/>
      <c r="C773" s="37"/>
      <c r="D773" s="37"/>
      <c r="E773" s="37"/>
      <c r="F773" s="46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</row>
    <row r="774" spans="1:21" ht="15.6">
      <c r="A774" s="37"/>
      <c r="B774" s="37"/>
      <c r="C774" s="37"/>
      <c r="D774" s="37"/>
      <c r="E774" s="37"/>
      <c r="F774" s="46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</row>
    <row r="775" spans="1:21" ht="15.6">
      <c r="A775" s="37"/>
      <c r="B775" s="37"/>
      <c r="C775" s="37"/>
      <c r="D775" s="37"/>
      <c r="E775" s="37"/>
      <c r="F775" s="46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</row>
    <row r="776" spans="1:21" ht="15.6">
      <c r="A776" s="37"/>
      <c r="B776" s="37"/>
      <c r="C776" s="37"/>
      <c r="D776" s="37"/>
      <c r="E776" s="37"/>
      <c r="F776" s="46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</row>
    <row r="777" spans="1:21" ht="15.6">
      <c r="A777" s="37"/>
      <c r="B777" s="37"/>
      <c r="C777" s="37"/>
      <c r="D777" s="37"/>
      <c r="E777" s="37"/>
      <c r="F777" s="46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</row>
    <row r="778" spans="1:21" ht="15.6">
      <c r="A778" s="37"/>
      <c r="B778" s="37"/>
      <c r="C778" s="37"/>
      <c r="D778" s="37"/>
      <c r="E778" s="37"/>
      <c r="F778" s="46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</row>
    <row r="779" spans="1:21" ht="15.6">
      <c r="A779" s="37"/>
      <c r="B779" s="37"/>
      <c r="C779" s="37"/>
      <c r="D779" s="37"/>
      <c r="E779" s="37"/>
      <c r="F779" s="46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</row>
    <row r="780" spans="1:21" ht="15.6">
      <c r="A780" s="37"/>
      <c r="B780" s="37"/>
      <c r="C780" s="37"/>
      <c r="D780" s="37"/>
      <c r="E780" s="37"/>
      <c r="F780" s="46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</row>
    <row r="781" spans="1:21" ht="15.6">
      <c r="A781" s="37"/>
      <c r="B781" s="37"/>
      <c r="C781" s="37"/>
      <c r="D781" s="37"/>
      <c r="E781" s="37"/>
      <c r="F781" s="46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</row>
    <row r="782" spans="1:21" ht="15.6">
      <c r="A782" s="37"/>
      <c r="B782" s="37"/>
      <c r="C782" s="37"/>
      <c r="D782" s="37"/>
      <c r="E782" s="37"/>
      <c r="F782" s="46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</row>
    <row r="783" spans="1:21" ht="15.6">
      <c r="A783" s="37"/>
      <c r="B783" s="37"/>
      <c r="C783" s="37"/>
      <c r="D783" s="37"/>
      <c r="E783" s="37"/>
      <c r="F783" s="46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</row>
    <row r="784" spans="1:21" ht="15.6">
      <c r="A784" s="37"/>
      <c r="B784" s="37"/>
      <c r="C784" s="37"/>
      <c r="D784" s="37"/>
      <c r="E784" s="37"/>
      <c r="F784" s="46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</row>
    <row r="785" spans="1:21" ht="15.6">
      <c r="A785" s="37"/>
      <c r="B785" s="37"/>
      <c r="C785" s="37"/>
      <c r="D785" s="37"/>
      <c r="E785" s="37"/>
      <c r="F785" s="46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</row>
    <row r="786" spans="1:21" ht="15.6">
      <c r="A786" s="37"/>
      <c r="B786" s="37"/>
      <c r="C786" s="37"/>
      <c r="D786" s="37"/>
      <c r="E786" s="37"/>
      <c r="F786" s="46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</row>
    <row r="787" spans="1:21" ht="15.6">
      <c r="A787" s="37"/>
      <c r="B787" s="37"/>
      <c r="C787" s="37"/>
      <c r="D787" s="37"/>
      <c r="E787" s="37"/>
      <c r="F787" s="46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</row>
    <row r="788" spans="1:21" ht="15.6">
      <c r="A788" s="37"/>
      <c r="B788" s="37"/>
      <c r="C788" s="37"/>
      <c r="D788" s="37"/>
      <c r="E788" s="37"/>
      <c r="F788" s="46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</row>
    <row r="789" spans="1:21" ht="15.6">
      <c r="A789" s="37"/>
      <c r="B789" s="37"/>
      <c r="C789" s="37"/>
      <c r="D789" s="37"/>
      <c r="E789" s="37"/>
      <c r="F789" s="46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</row>
    <row r="790" spans="1:21" ht="15.6">
      <c r="A790" s="37"/>
      <c r="B790" s="37"/>
      <c r="C790" s="37"/>
      <c r="D790" s="37"/>
      <c r="E790" s="37"/>
      <c r="F790" s="46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</row>
    <row r="791" spans="1:21" ht="15.6">
      <c r="A791" s="37"/>
      <c r="B791" s="37"/>
      <c r="C791" s="37"/>
      <c r="D791" s="37"/>
      <c r="E791" s="37"/>
      <c r="F791" s="46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</row>
    <row r="792" spans="1:21" ht="15.6">
      <c r="A792" s="37"/>
      <c r="B792" s="37"/>
      <c r="C792" s="37"/>
      <c r="D792" s="37"/>
      <c r="E792" s="37"/>
      <c r="F792" s="46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</row>
    <row r="793" spans="1:21" ht="15.6">
      <c r="A793" s="37"/>
      <c r="B793" s="37"/>
      <c r="C793" s="37"/>
      <c r="D793" s="37"/>
      <c r="E793" s="37"/>
      <c r="F793" s="46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</row>
    <row r="794" spans="1:21" ht="15.6">
      <c r="A794" s="37"/>
      <c r="B794" s="37"/>
      <c r="C794" s="37"/>
      <c r="D794" s="37"/>
      <c r="E794" s="37"/>
      <c r="F794" s="46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</row>
    <row r="795" spans="1:21" ht="15.6">
      <c r="A795" s="37"/>
      <c r="B795" s="37"/>
      <c r="C795" s="37"/>
      <c r="D795" s="37"/>
      <c r="E795" s="37"/>
      <c r="F795" s="46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</row>
    <row r="796" spans="1:21" ht="15.6">
      <c r="A796" s="37"/>
      <c r="B796" s="37"/>
      <c r="C796" s="37"/>
      <c r="D796" s="37"/>
      <c r="E796" s="37"/>
      <c r="F796" s="46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</row>
    <row r="797" spans="1:21" ht="15.6">
      <c r="A797" s="37"/>
      <c r="B797" s="37"/>
      <c r="C797" s="37"/>
      <c r="D797" s="37"/>
      <c r="E797" s="37"/>
      <c r="F797" s="46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</row>
    <row r="798" spans="1:21" ht="15.6">
      <c r="A798" s="37"/>
      <c r="B798" s="37"/>
      <c r="C798" s="37"/>
      <c r="D798" s="37"/>
      <c r="E798" s="37"/>
      <c r="F798" s="46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</row>
    <row r="799" spans="1:21" ht="15.6">
      <c r="A799" s="37"/>
      <c r="B799" s="37"/>
      <c r="C799" s="37"/>
      <c r="D799" s="37"/>
      <c r="E799" s="37"/>
      <c r="F799" s="46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</row>
    <row r="800" spans="1:21" ht="15.6">
      <c r="A800" s="37"/>
      <c r="B800" s="37"/>
      <c r="C800" s="37"/>
      <c r="D800" s="37"/>
      <c r="E800" s="37"/>
      <c r="F800" s="46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</row>
    <row r="801" spans="1:21" ht="15.6">
      <c r="A801" s="37"/>
      <c r="B801" s="37"/>
      <c r="C801" s="37"/>
      <c r="D801" s="37"/>
      <c r="E801" s="37"/>
      <c r="F801" s="46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</row>
    <row r="802" spans="1:21" ht="15.6">
      <c r="A802" s="37"/>
      <c r="B802" s="37"/>
      <c r="C802" s="37"/>
      <c r="D802" s="37"/>
      <c r="E802" s="37"/>
      <c r="F802" s="46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</row>
    <row r="803" spans="1:21" ht="15.6">
      <c r="A803" s="37"/>
      <c r="B803" s="37"/>
      <c r="C803" s="37"/>
      <c r="D803" s="37"/>
      <c r="E803" s="37"/>
      <c r="F803" s="46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</row>
    <row r="804" spans="1:21" ht="15.6">
      <c r="A804" s="37"/>
      <c r="B804" s="37"/>
      <c r="C804" s="37"/>
      <c r="D804" s="37"/>
      <c r="E804" s="37"/>
      <c r="F804" s="46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</row>
    <row r="805" spans="1:21" ht="15.6">
      <c r="A805" s="37"/>
      <c r="B805" s="37"/>
      <c r="C805" s="37"/>
      <c r="D805" s="37"/>
      <c r="E805" s="37"/>
      <c r="F805" s="46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</row>
    <row r="806" spans="1:21" ht="15.6">
      <c r="A806" s="37"/>
      <c r="B806" s="37"/>
      <c r="C806" s="37"/>
      <c r="D806" s="37"/>
      <c r="E806" s="37"/>
      <c r="F806" s="46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</row>
    <row r="807" spans="1:21" ht="15.6">
      <c r="A807" s="37"/>
      <c r="B807" s="37"/>
      <c r="C807" s="37"/>
      <c r="D807" s="37"/>
      <c r="E807" s="37"/>
      <c r="F807" s="46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</row>
    <row r="808" spans="1:21" ht="15.6">
      <c r="A808" s="37"/>
      <c r="B808" s="37"/>
      <c r="C808" s="37"/>
      <c r="D808" s="37"/>
      <c r="E808" s="37"/>
      <c r="F808" s="46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</row>
    <row r="809" spans="1:21" ht="15.6">
      <c r="A809" s="37"/>
      <c r="B809" s="37"/>
      <c r="C809" s="37"/>
      <c r="D809" s="37"/>
      <c r="E809" s="37"/>
      <c r="F809" s="46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</row>
    <row r="810" spans="1:21" ht="15.6">
      <c r="A810" s="37"/>
      <c r="B810" s="37"/>
      <c r="C810" s="37"/>
      <c r="D810" s="37"/>
      <c r="E810" s="37"/>
      <c r="F810" s="46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</row>
    <row r="811" spans="1:21" ht="15.6">
      <c r="A811" s="37"/>
      <c r="B811" s="37"/>
      <c r="C811" s="37"/>
      <c r="D811" s="37"/>
      <c r="E811" s="37"/>
      <c r="F811" s="46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</row>
    <row r="812" spans="1:21" ht="15.6">
      <c r="A812" s="37"/>
      <c r="B812" s="37"/>
      <c r="C812" s="37"/>
      <c r="D812" s="37"/>
      <c r="E812" s="37"/>
      <c r="F812" s="46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</row>
    <row r="813" spans="1:21" ht="15.6">
      <c r="A813" s="37"/>
      <c r="B813" s="37"/>
      <c r="C813" s="37"/>
      <c r="D813" s="37"/>
      <c r="E813" s="37"/>
      <c r="F813" s="46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</row>
    <row r="814" spans="1:21" ht="15.6">
      <c r="A814" s="37"/>
      <c r="B814" s="37"/>
      <c r="C814" s="37"/>
      <c r="D814" s="37"/>
      <c r="E814" s="37"/>
      <c r="F814" s="46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</row>
    <row r="815" spans="1:21" ht="15.6">
      <c r="A815" s="37"/>
      <c r="B815" s="37"/>
      <c r="C815" s="37"/>
      <c r="D815" s="37"/>
      <c r="E815" s="37"/>
      <c r="F815" s="46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</row>
    <row r="816" spans="1:21" ht="15.6">
      <c r="A816" s="37"/>
      <c r="B816" s="37"/>
      <c r="C816" s="37"/>
      <c r="D816" s="37"/>
      <c r="E816" s="37"/>
      <c r="F816" s="46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</row>
    <row r="817" spans="1:21" ht="15.6">
      <c r="A817" s="37"/>
      <c r="B817" s="37"/>
      <c r="C817" s="37"/>
      <c r="D817" s="37"/>
      <c r="E817" s="37"/>
      <c r="F817" s="46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</row>
    <row r="818" spans="1:21" ht="15.6">
      <c r="A818" s="37"/>
      <c r="B818" s="37"/>
      <c r="C818" s="37"/>
      <c r="D818" s="37"/>
      <c r="E818" s="37"/>
      <c r="F818" s="46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</row>
    <row r="819" spans="1:21" ht="15.6">
      <c r="A819" s="37"/>
      <c r="B819" s="37"/>
      <c r="C819" s="37"/>
      <c r="D819" s="37"/>
      <c r="E819" s="37"/>
      <c r="F819" s="46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</row>
    <row r="820" spans="1:21" ht="15.6">
      <c r="A820" s="37"/>
      <c r="B820" s="37"/>
      <c r="C820" s="37"/>
      <c r="D820" s="37"/>
      <c r="E820" s="37"/>
      <c r="F820" s="46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</row>
    <row r="821" spans="1:21" ht="15.6">
      <c r="A821" s="37"/>
      <c r="B821" s="37"/>
      <c r="C821" s="37"/>
      <c r="D821" s="37"/>
      <c r="E821" s="37"/>
      <c r="F821" s="46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</row>
    <row r="822" spans="1:21" ht="15.6">
      <c r="A822" s="37"/>
      <c r="B822" s="37"/>
      <c r="C822" s="37"/>
      <c r="D822" s="37"/>
      <c r="E822" s="37"/>
      <c r="F822" s="46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</row>
    <row r="823" spans="1:21" ht="15.6">
      <c r="A823" s="37"/>
      <c r="B823" s="37"/>
      <c r="C823" s="37"/>
      <c r="D823" s="37"/>
      <c r="E823" s="37"/>
      <c r="F823" s="46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</row>
    <row r="824" spans="1:21" ht="15.6">
      <c r="A824" s="37"/>
      <c r="B824" s="37"/>
      <c r="C824" s="37"/>
      <c r="D824" s="37"/>
      <c r="E824" s="37"/>
      <c r="F824" s="46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</row>
    <row r="825" spans="1:21" ht="15.6">
      <c r="A825" s="37"/>
      <c r="B825" s="37"/>
      <c r="C825" s="37"/>
      <c r="D825" s="37"/>
      <c r="E825" s="37"/>
      <c r="F825" s="46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</row>
    <row r="826" spans="1:21" ht="15.6">
      <c r="A826" s="37"/>
      <c r="B826" s="37"/>
      <c r="C826" s="37"/>
      <c r="D826" s="37"/>
      <c r="E826" s="37"/>
      <c r="F826" s="46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</row>
    <row r="827" spans="1:21" ht="15.6">
      <c r="A827" s="37"/>
      <c r="B827" s="37"/>
      <c r="C827" s="37"/>
      <c r="D827" s="37"/>
      <c r="E827" s="37"/>
      <c r="F827" s="46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</row>
    <row r="828" spans="1:21" ht="15.6">
      <c r="A828" s="37"/>
      <c r="B828" s="37"/>
      <c r="C828" s="37"/>
      <c r="D828" s="37"/>
      <c r="E828" s="37"/>
      <c r="F828" s="46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</row>
    <row r="829" spans="1:21" ht="15.6">
      <c r="A829" s="37"/>
      <c r="B829" s="37"/>
      <c r="C829" s="37"/>
      <c r="D829" s="37"/>
      <c r="E829" s="37"/>
      <c r="F829" s="46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</row>
    <row r="830" spans="1:21" ht="15.6">
      <c r="A830" s="37"/>
      <c r="B830" s="37"/>
      <c r="C830" s="37"/>
      <c r="D830" s="37"/>
      <c r="E830" s="37"/>
      <c r="F830" s="46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</row>
    <row r="831" spans="1:21" ht="15.6">
      <c r="A831" s="37"/>
      <c r="B831" s="37"/>
      <c r="C831" s="37"/>
      <c r="D831" s="37"/>
      <c r="E831" s="37"/>
      <c r="F831" s="46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</row>
    <row r="832" spans="1:21" ht="15.6">
      <c r="A832" s="37"/>
      <c r="B832" s="37"/>
      <c r="C832" s="37"/>
      <c r="D832" s="37"/>
      <c r="E832" s="37"/>
      <c r="F832" s="46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</row>
    <row r="833" spans="1:21" ht="15.6">
      <c r="A833" s="37"/>
      <c r="B833" s="37"/>
      <c r="C833" s="37"/>
      <c r="D833" s="37"/>
      <c r="E833" s="37"/>
      <c r="F833" s="46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</row>
    <row r="834" spans="1:21" ht="15.6">
      <c r="A834" s="37"/>
      <c r="B834" s="37"/>
      <c r="C834" s="37"/>
      <c r="D834" s="37"/>
      <c r="E834" s="37"/>
      <c r="F834" s="46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</row>
    <row r="835" spans="1:21" ht="15.6">
      <c r="A835" s="37"/>
      <c r="B835" s="37"/>
      <c r="C835" s="37"/>
      <c r="D835" s="37"/>
      <c r="E835" s="37"/>
      <c r="F835" s="46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</row>
    <row r="836" spans="1:21" ht="15.6">
      <c r="A836" s="37"/>
      <c r="B836" s="37"/>
      <c r="C836" s="37"/>
      <c r="D836" s="37"/>
      <c r="E836" s="37"/>
      <c r="F836" s="46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</row>
    <row r="837" spans="1:21" ht="15.6">
      <c r="A837" s="37"/>
      <c r="B837" s="37"/>
      <c r="C837" s="37"/>
      <c r="D837" s="37"/>
      <c r="E837" s="37"/>
      <c r="F837" s="46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</row>
    <row r="838" spans="1:21" ht="15.6">
      <c r="A838" s="37"/>
      <c r="B838" s="37"/>
      <c r="C838" s="37"/>
      <c r="D838" s="37"/>
      <c r="E838" s="37"/>
      <c r="F838" s="46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</row>
    <row r="839" spans="1:21" ht="15.6">
      <c r="A839" s="37"/>
      <c r="B839" s="37"/>
      <c r="C839" s="37"/>
      <c r="D839" s="37"/>
      <c r="E839" s="37"/>
      <c r="F839" s="46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</row>
    <row r="840" spans="1:21" ht="15.6">
      <c r="A840" s="37"/>
      <c r="B840" s="37"/>
      <c r="C840" s="37"/>
      <c r="D840" s="37"/>
      <c r="E840" s="37"/>
      <c r="F840" s="46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</row>
    <row r="841" spans="1:21" ht="15.6">
      <c r="A841" s="37"/>
      <c r="B841" s="37"/>
      <c r="C841" s="37"/>
      <c r="D841" s="37"/>
      <c r="E841" s="37"/>
      <c r="F841" s="46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</row>
    <row r="842" spans="1:21" ht="15.6">
      <c r="A842" s="37"/>
      <c r="B842" s="37"/>
      <c r="C842" s="37"/>
      <c r="D842" s="37"/>
      <c r="E842" s="37"/>
      <c r="F842" s="46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</row>
    <row r="843" spans="1:21" ht="15.6">
      <c r="A843" s="37"/>
      <c r="B843" s="37"/>
      <c r="C843" s="37"/>
      <c r="D843" s="37"/>
      <c r="E843" s="37"/>
      <c r="F843" s="46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</row>
    <row r="844" spans="1:21" ht="15.6">
      <c r="A844" s="37"/>
      <c r="B844" s="37"/>
      <c r="C844" s="37"/>
      <c r="D844" s="37"/>
      <c r="E844" s="37"/>
      <c r="F844" s="46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</row>
    <row r="845" spans="1:21" ht="15.6">
      <c r="A845" s="37"/>
      <c r="B845" s="37"/>
      <c r="C845" s="37"/>
      <c r="D845" s="37"/>
      <c r="E845" s="37"/>
      <c r="F845" s="46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</row>
    <row r="846" spans="1:21" ht="15.6">
      <c r="A846" s="37"/>
      <c r="B846" s="37"/>
      <c r="C846" s="37"/>
      <c r="D846" s="37"/>
      <c r="E846" s="37"/>
      <c r="F846" s="46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</row>
    <row r="847" spans="1:21" ht="15.6">
      <c r="A847" s="37"/>
      <c r="B847" s="37"/>
      <c r="C847" s="37"/>
      <c r="D847" s="37"/>
      <c r="E847" s="37"/>
      <c r="F847" s="46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</row>
    <row r="848" spans="1:21" ht="15.6">
      <c r="A848" s="37"/>
      <c r="B848" s="37"/>
      <c r="C848" s="37"/>
      <c r="D848" s="37"/>
      <c r="E848" s="37"/>
      <c r="F848" s="46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</row>
    <row r="849" spans="1:21" ht="15.6">
      <c r="A849" s="37"/>
      <c r="B849" s="37"/>
      <c r="C849" s="37"/>
      <c r="D849" s="37"/>
      <c r="E849" s="37"/>
      <c r="F849" s="46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</row>
    <row r="850" spans="1:21" ht="15.6">
      <c r="A850" s="37"/>
      <c r="B850" s="37"/>
      <c r="C850" s="37"/>
      <c r="D850" s="37"/>
      <c r="E850" s="37"/>
      <c r="F850" s="46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</row>
    <row r="851" spans="1:21" ht="15.6">
      <c r="A851" s="37"/>
      <c r="B851" s="37"/>
      <c r="C851" s="37"/>
      <c r="D851" s="37"/>
      <c r="E851" s="37"/>
      <c r="F851" s="46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</row>
    <row r="852" spans="1:21" ht="15.6">
      <c r="A852" s="37"/>
      <c r="B852" s="37"/>
      <c r="C852" s="37"/>
      <c r="D852" s="37"/>
      <c r="E852" s="37"/>
      <c r="F852" s="46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</row>
    <row r="853" spans="1:21" ht="15.6">
      <c r="A853" s="37"/>
      <c r="B853" s="37"/>
      <c r="C853" s="37"/>
      <c r="D853" s="37"/>
      <c r="E853" s="37"/>
      <c r="F853" s="46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</row>
    <row r="854" spans="1:21" ht="15.6">
      <c r="A854" s="37"/>
      <c r="B854" s="37"/>
      <c r="C854" s="37"/>
      <c r="D854" s="37"/>
      <c r="E854" s="37"/>
      <c r="F854" s="46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</row>
    <row r="855" spans="1:21" ht="15.6">
      <c r="A855" s="37"/>
      <c r="B855" s="37"/>
      <c r="C855" s="37"/>
      <c r="D855" s="37"/>
      <c r="E855" s="37"/>
      <c r="F855" s="46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</row>
    <row r="856" spans="1:21" ht="15.6">
      <c r="A856" s="37"/>
      <c r="B856" s="37"/>
      <c r="C856" s="37"/>
      <c r="D856" s="37"/>
      <c r="E856" s="37"/>
      <c r="F856" s="46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</row>
    <row r="857" spans="1:21" ht="15.6">
      <c r="A857" s="37"/>
      <c r="B857" s="37"/>
      <c r="C857" s="37"/>
      <c r="D857" s="37"/>
      <c r="E857" s="37"/>
      <c r="F857" s="46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</row>
    <row r="858" spans="1:21" ht="15.6">
      <c r="A858" s="37"/>
      <c r="B858" s="37"/>
      <c r="C858" s="37"/>
      <c r="D858" s="37"/>
      <c r="E858" s="37"/>
      <c r="F858" s="46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</row>
    <row r="859" spans="1:21" ht="15.6">
      <c r="A859" s="37"/>
      <c r="B859" s="37"/>
      <c r="C859" s="37"/>
      <c r="D859" s="37"/>
      <c r="E859" s="37"/>
      <c r="F859" s="46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</row>
    <row r="860" spans="1:21" ht="15.6">
      <c r="A860" s="37"/>
      <c r="B860" s="37"/>
      <c r="C860" s="37"/>
      <c r="D860" s="37"/>
      <c r="E860" s="37"/>
      <c r="F860" s="46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</row>
    <row r="861" spans="1:21" ht="15.6">
      <c r="A861" s="37"/>
      <c r="B861" s="37"/>
      <c r="C861" s="37"/>
      <c r="D861" s="37"/>
      <c r="E861" s="37"/>
      <c r="F861" s="46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</row>
    <row r="862" spans="1:21" ht="15.6">
      <c r="A862" s="37"/>
      <c r="B862" s="37"/>
      <c r="C862" s="37"/>
      <c r="D862" s="37"/>
      <c r="E862" s="37"/>
      <c r="F862" s="46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</row>
    <row r="863" spans="1:21" ht="15.6">
      <c r="A863" s="37"/>
      <c r="B863" s="37"/>
      <c r="C863" s="37"/>
      <c r="D863" s="37"/>
      <c r="E863" s="37"/>
      <c r="F863" s="46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</row>
    <row r="864" spans="1:21" ht="15.6">
      <c r="A864" s="37"/>
      <c r="B864" s="37"/>
      <c r="C864" s="37"/>
      <c r="D864" s="37"/>
      <c r="E864" s="37"/>
      <c r="F864" s="46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</row>
    <row r="865" spans="1:21" ht="15.6">
      <c r="A865" s="37"/>
      <c r="B865" s="37"/>
      <c r="C865" s="37"/>
      <c r="D865" s="37"/>
      <c r="E865" s="37"/>
      <c r="F865" s="46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</row>
    <row r="866" spans="1:21" ht="15.6">
      <c r="A866" s="37"/>
      <c r="B866" s="37"/>
      <c r="C866" s="37"/>
      <c r="D866" s="37"/>
      <c r="E866" s="37"/>
      <c r="F866" s="46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</row>
    <row r="867" spans="1:21" ht="15.6">
      <c r="A867" s="37"/>
      <c r="B867" s="37"/>
      <c r="C867" s="37"/>
      <c r="D867" s="37"/>
      <c r="E867" s="37"/>
      <c r="F867" s="46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</row>
    <row r="868" spans="1:21" ht="15.6">
      <c r="A868" s="37"/>
      <c r="B868" s="37"/>
      <c r="C868" s="37"/>
      <c r="D868" s="37"/>
      <c r="E868" s="37"/>
      <c r="F868" s="46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</row>
    <row r="869" spans="1:21" ht="15.6">
      <c r="A869" s="37"/>
      <c r="B869" s="37"/>
      <c r="C869" s="37"/>
      <c r="D869" s="37"/>
      <c r="E869" s="37"/>
      <c r="F869" s="46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</row>
    <row r="870" spans="1:21" ht="15.6">
      <c r="A870" s="37"/>
      <c r="B870" s="37"/>
      <c r="C870" s="37"/>
      <c r="D870" s="37"/>
      <c r="E870" s="37"/>
      <c r="F870" s="46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</row>
    <row r="871" spans="1:21" ht="15.6">
      <c r="A871" s="37"/>
      <c r="B871" s="37"/>
      <c r="C871" s="37"/>
      <c r="D871" s="37"/>
      <c r="E871" s="37"/>
      <c r="F871" s="46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</row>
    <row r="872" spans="1:21" ht="15.6">
      <c r="A872" s="37"/>
      <c r="B872" s="37"/>
      <c r="C872" s="37"/>
      <c r="D872" s="37"/>
      <c r="E872" s="37"/>
      <c r="F872" s="46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</row>
    <row r="873" spans="1:21" ht="15.6">
      <c r="A873" s="37"/>
      <c r="B873" s="37"/>
      <c r="C873" s="37"/>
      <c r="D873" s="37"/>
      <c r="E873" s="37"/>
      <c r="F873" s="46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</row>
    <row r="874" spans="1:21" ht="15.6">
      <c r="A874" s="37"/>
      <c r="B874" s="37"/>
      <c r="C874" s="37"/>
      <c r="D874" s="37"/>
      <c r="E874" s="37"/>
      <c r="F874" s="46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</row>
    <row r="875" spans="1:21" ht="15.6">
      <c r="A875" s="37"/>
      <c r="B875" s="37"/>
      <c r="C875" s="37"/>
      <c r="D875" s="37"/>
      <c r="E875" s="37"/>
      <c r="F875" s="46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</row>
    <row r="876" spans="1:21" ht="15.6">
      <c r="A876" s="37"/>
      <c r="B876" s="37"/>
      <c r="C876" s="37"/>
      <c r="D876" s="37"/>
      <c r="E876" s="37"/>
      <c r="F876" s="46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</row>
    <row r="877" spans="1:21" ht="15.6">
      <c r="A877" s="37"/>
      <c r="B877" s="37"/>
      <c r="C877" s="37"/>
      <c r="D877" s="37"/>
      <c r="E877" s="37"/>
      <c r="F877" s="46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</row>
    <row r="878" spans="1:21" ht="15.6">
      <c r="A878" s="37"/>
      <c r="B878" s="37"/>
      <c r="C878" s="37"/>
      <c r="D878" s="37"/>
      <c r="E878" s="37"/>
      <c r="F878" s="46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</row>
    <row r="879" spans="1:21" ht="15.6">
      <c r="A879" s="37"/>
      <c r="B879" s="37"/>
      <c r="C879" s="37"/>
      <c r="D879" s="37"/>
      <c r="E879" s="37"/>
      <c r="F879" s="46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</row>
    <row r="880" spans="1:21" ht="15.6">
      <c r="A880" s="37"/>
      <c r="B880" s="37"/>
      <c r="C880" s="37"/>
      <c r="D880" s="37"/>
      <c r="E880" s="37"/>
      <c r="F880" s="46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</row>
    <row r="881" spans="1:21" ht="15.6">
      <c r="A881" s="37"/>
      <c r="B881" s="37"/>
      <c r="C881" s="37"/>
      <c r="D881" s="37"/>
      <c r="E881" s="37"/>
      <c r="F881" s="46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</row>
    <row r="882" spans="1:21" ht="15.6">
      <c r="A882" s="37"/>
      <c r="B882" s="37"/>
      <c r="C882" s="37"/>
      <c r="D882" s="37"/>
      <c r="E882" s="37"/>
      <c r="F882" s="46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</row>
    <row r="883" spans="1:21" ht="15.6">
      <c r="A883" s="37"/>
      <c r="B883" s="37"/>
      <c r="C883" s="37"/>
      <c r="D883" s="37"/>
      <c r="E883" s="37"/>
      <c r="F883" s="46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</row>
    <row r="884" spans="1:21" ht="15.6">
      <c r="A884" s="37"/>
      <c r="B884" s="37"/>
      <c r="C884" s="37"/>
      <c r="D884" s="37"/>
      <c r="E884" s="37"/>
      <c r="F884" s="46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</row>
    <row r="885" spans="1:21" ht="15.6">
      <c r="A885" s="37"/>
      <c r="B885" s="37"/>
      <c r="C885" s="37"/>
      <c r="D885" s="37"/>
      <c r="E885" s="37"/>
      <c r="F885" s="46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</row>
    <row r="886" spans="1:21" ht="15.6">
      <c r="A886" s="37"/>
      <c r="B886" s="37"/>
      <c r="C886" s="37"/>
      <c r="D886" s="37"/>
      <c r="E886" s="37"/>
      <c r="F886" s="46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</row>
    <row r="887" spans="1:21" ht="15.6">
      <c r="A887" s="37"/>
      <c r="B887" s="37"/>
      <c r="C887" s="37"/>
      <c r="D887" s="37"/>
      <c r="E887" s="37"/>
      <c r="F887" s="46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</row>
    <row r="888" spans="1:21" ht="15.6">
      <c r="A888" s="37"/>
      <c r="B888" s="37"/>
      <c r="C888" s="37"/>
      <c r="D888" s="37"/>
      <c r="E888" s="37"/>
      <c r="F888" s="46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</row>
    <row r="889" spans="1:21" ht="15.6">
      <c r="A889" s="37"/>
      <c r="B889" s="37"/>
      <c r="C889" s="37"/>
      <c r="D889" s="37"/>
      <c r="E889" s="37"/>
      <c r="F889" s="46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</row>
    <row r="890" spans="1:21" ht="15.6">
      <c r="A890" s="37"/>
      <c r="B890" s="37"/>
      <c r="C890" s="37"/>
      <c r="D890" s="37"/>
      <c r="E890" s="37"/>
      <c r="F890" s="46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</row>
    <row r="891" spans="1:21" ht="15.6">
      <c r="A891" s="37"/>
      <c r="B891" s="37"/>
      <c r="C891" s="37"/>
      <c r="D891" s="37"/>
      <c r="E891" s="37"/>
      <c r="F891" s="46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</row>
    <row r="892" spans="1:21" ht="15.6">
      <c r="A892" s="37"/>
      <c r="B892" s="37"/>
      <c r="C892" s="37"/>
      <c r="D892" s="37"/>
      <c r="E892" s="37"/>
      <c r="F892" s="46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</row>
    <row r="893" spans="1:21" ht="15.6">
      <c r="A893" s="37"/>
      <c r="B893" s="37"/>
      <c r="C893" s="37"/>
      <c r="D893" s="37"/>
      <c r="E893" s="37"/>
      <c r="F893" s="46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</row>
    <row r="894" spans="1:21" ht="15.6">
      <c r="A894" s="37"/>
      <c r="B894" s="37"/>
      <c r="C894" s="37"/>
      <c r="D894" s="37"/>
      <c r="E894" s="37"/>
      <c r="F894" s="46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</row>
    <row r="895" spans="1:21" ht="15.6">
      <c r="A895" s="37"/>
      <c r="B895" s="37"/>
      <c r="C895" s="37"/>
      <c r="D895" s="37"/>
      <c r="E895" s="37"/>
      <c r="F895" s="46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</row>
    <row r="896" spans="1:21" ht="15.6">
      <c r="A896" s="37"/>
      <c r="B896" s="37"/>
      <c r="C896" s="37"/>
      <c r="D896" s="37"/>
      <c r="E896" s="37"/>
      <c r="F896" s="46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</row>
    <row r="897" spans="1:21" ht="15.6">
      <c r="A897" s="37"/>
      <c r="B897" s="37"/>
      <c r="C897" s="37"/>
      <c r="D897" s="37"/>
      <c r="E897" s="37"/>
      <c r="F897" s="46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</row>
    <row r="898" spans="1:21" ht="15.6">
      <c r="A898" s="37"/>
      <c r="B898" s="37"/>
      <c r="C898" s="37"/>
      <c r="D898" s="37"/>
      <c r="E898" s="37"/>
      <c r="F898" s="46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</row>
    <row r="899" spans="1:21" ht="15.6">
      <c r="A899" s="37"/>
      <c r="B899" s="37"/>
      <c r="C899" s="37"/>
      <c r="D899" s="37"/>
      <c r="E899" s="37"/>
      <c r="F899" s="46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</row>
    <row r="900" spans="1:21" ht="15.6">
      <c r="A900" s="37"/>
      <c r="B900" s="37"/>
      <c r="C900" s="37"/>
      <c r="D900" s="37"/>
      <c r="E900" s="37"/>
      <c r="F900" s="46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</row>
    <row r="901" spans="1:21" ht="15.6">
      <c r="A901" s="37"/>
      <c r="B901" s="37"/>
      <c r="C901" s="37"/>
      <c r="D901" s="37"/>
      <c r="E901" s="37"/>
      <c r="F901" s="46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</row>
    <row r="902" spans="1:21" ht="15.6">
      <c r="A902" s="37"/>
      <c r="B902" s="37"/>
      <c r="C902" s="37"/>
      <c r="D902" s="37"/>
      <c r="E902" s="37"/>
      <c r="F902" s="46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</row>
    <row r="903" spans="1:21" ht="15.6">
      <c r="A903" s="37"/>
      <c r="B903" s="37"/>
      <c r="C903" s="37"/>
      <c r="D903" s="37"/>
      <c r="E903" s="37"/>
      <c r="F903" s="46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</row>
    <row r="904" spans="1:21" ht="15.6">
      <c r="A904" s="37"/>
      <c r="B904" s="37"/>
      <c r="C904" s="37"/>
      <c r="D904" s="37"/>
      <c r="E904" s="37"/>
      <c r="F904" s="46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</row>
    <row r="905" spans="1:21" ht="15.6">
      <c r="A905" s="37"/>
      <c r="B905" s="37"/>
      <c r="C905" s="37"/>
      <c r="D905" s="37"/>
      <c r="E905" s="37"/>
      <c r="F905" s="46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</row>
    <row r="906" spans="1:21" ht="15.6">
      <c r="A906" s="37"/>
      <c r="B906" s="37"/>
      <c r="C906" s="37"/>
      <c r="D906" s="37"/>
      <c r="E906" s="37"/>
      <c r="F906" s="46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</row>
    <row r="907" spans="1:21" ht="15.6">
      <c r="A907" s="37"/>
      <c r="B907" s="37"/>
      <c r="C907" s="37"/>
      <c r="D907" s="37"/>
      <c r="E907" s="37"/>
      <c r="F907" s="46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</row>
    <row r="908" spans="1:21" ht="15.6">
      <c r="A908" s="37"/>
      <c r="B908" s="37"/>
      <c r="C908" s="37"/>
      <c r="D908" s="37"/>
      <c r="E908" s="37"/>
      <c r="F908" s="46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</row>
    <row r="909" spans="1:21" ht="15.6">
      <c r="A909" s="37"/>
      <c r="B909" s="37"/>
      <c r="C909" s="37"/>
      <c r="D909" s="37"/>
      <c r="E909" s="37"/>
      <c r="F909" s="46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</row>
    <row r="910" spans="1:21" ht="15.6">
      <c r="A910" s="37"/>
      <c r="B910" s="37"/>
      <c r="C910" s="37"/>
      <c r="D910" s="37"/>
      <c r="E910" s="37"/>
      <c r="F910" s="46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</row>
    <row r="911" spans="1:21" ht="15.6">
      <c r="A911" s="37"/>
      <c r="B911" s="37"/>
      <c r="C911" s="37"/>
      <c r="D911" s="37"/>
      <c r="E911" s="37"/>
      <c r="F911" s="46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</row>
    <row r="912" spans="1:21" ht="15.6">
      <c r="A912" s="37"/>
      <c r="B912" s="37"/>
      <c r="C912" s="37"/>
      <c r="D912" s="37"/>
      <c r="E912" s="37"/>
      <c r="F912" s="46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</row>
    <row r="913" spans="1:21" ht="15.6">
      <c r="A913" s="37"/>
      <c r="B913" s="37"/>
      <c r="C913" s="37"/>
      <c r="D913" s="37"/>
      <c r="E913" s="37"/>
      <c r="F913" s="46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</row>
    <row r="914" spans="1:21" ht="15.6">
      <c r="A914" s="37"/>
      <c r="B914" s="37"/>
      <c r="C914" s="37"/>
      <c r="D914" s="37"/>
      <c r="E914" s="37"/>
      <c r="F914" s="46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</row>
    <row r="915" spans="1:21" ht="15.6">
      <c r="A915" s="37"/>
      <c r="B915" s="37"/>
      <c r="C915" s="37"/>
      <c r="D915" s="37"/>
      <c r="E915" s="37"/>
      <c r="F915" s="46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</row>
    <row r="916" spans="1:21" ht="15.6">
      <c r="A916" s="37"/>
      <c r="B916" s="37"/>
      <c r="C916" s="37"/>
      <c r="D916" s="37"/>
      <c r="E916" s="37"/>
      <c r="F916" s="46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</row>
    <row r="917" spans="1:21" ht="15.6">
      <c r="A917" s="37"/>
      <c r="B917" s="37"/>
      <c r="C917" s="37"/>
      <c r="D917" s="37"/>
      <c r="E917" s="37"/>
      <c r="F917" s="46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</row>
    <row r="918" spans="1:21" ht="15.6">
      <c r="A918" s="37"/>
      <c r="B918" s="37"/>
      <c r="C918" s="37"/>
      <c r="D918" s="37"/>
      <c r="E918" s="37"/>
      <c r="F918" s="46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</row>
    <row r="919" spans="1:21" ht="15.6">
      <c r="A919" s="37"/>
      <c r="B919" s="37"/>
      <c r="C919" s="37"/>
      <c r="D919" s="37"/>
      <c r="E919" s="37"/>
      <c r="F919" s="46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</row>
    <row r="920" spans="1:21" ht="15.6">
      <c r="A920" s="37"/>
      <c r="B920" s="37"/>
      <c r="C920" s="37"/>
      <c r="D920" s="37"/>
      <c r="E920" s="37"/>
      <c r="F920" s="46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</row>
    <row r="921" spans="1:21" ht="15.6">
      <c r="A921" s="37"/>
      <c r="B921" s="37"/>
      <c r="C921" s="37"/>
      <c r="D921" s="37"/>
      <c r="E921" s="37"/>
      <c r="F921" s="46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</row>
    <row r="922" spans="1:21" ht="15.6">
      <c r="A922" s="37"/>
      <c r="B922" s="37"/>
      <c r="C922" s="37"/>
      <c r="D922" s="37"/>
      <c r="E922" s="37"/>
      <c r="F922" s="46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</row>
    <row r="923" spans="1:21" ht="15.6">
      <c r="A923" s="37"/>
      <c r="B923" s="37"/>
      <c r="C923" s="37"/>
      <c r="D923" s="37"/>
      <c r="E923" s="37"/>
      <c r="F923" s="46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</row>
    <row r="924" spans="1:21" ht="15.6">
      <c r="A924" s="37"/>
      <c r="B924" s="37"/>
      <c r="C924" s="37"/>
      <c r="D924" s="37"/>
      <c r="E924" s="37"/>
      <c r="F924" s="46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</row>
    <row r="925" spans="1:21" ht="15.6">
      <c r="A925" s="37"/>
      <c r="B925" s="37"/>
      <c r="C925" s="37"/>
      <c r="D925" s="37"/>
      <c r="E925" s="37"/>
      <c r="F925" s="46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</row>
    <row r="926" spans="1:21" ht="15.6">
      <c r="A926" s="37"/>
      <c r="B926" s="37"/>
      <c r="C926" s="37"/>
      <c r="D926" s="37"/>
      <c r="E926" s="37"/>
      <c r="F926" s="46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</row>
    <row r="927" spans="1:21" ht="15.6">
      <c r="A927" s="37"/>
      <c r="B927" s="37"/>
      <c r="C927" s="37"/>
      <c r="D927" s="37"/>
      <c r="E927" s="37"/>
      <c r="F927" s="46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</row>
    <row r="928" spans="1:21" ht="15.6">
      <c r="A928" s="37"/>
      <c r="B928" s="37"/>
      <c r="C928" s="37"/>
      <c r="D928" s="37"/>
      <c r="E928" s="37"/>
      <c r="F928" s="46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</row>
    <row r="929" spans="1:21" ht="15.6">
      <c r="A929" s="37"/>
      <c r="B929" s="37"/>
      <c r="C929" s="37"/>
      <c r="D929" s="37"/>
      <c r="E929" s="37"/>
      <c r="F929" s="46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</row>
    <row r="930" spans="1:21" ht="15.6">
      <c r="A930" s="37"/>
      <c r="B930" s="37"/>
      <c r="C930" s="37"/>
      <c r="D930" s="37"/>
      <c r="E930" s="37"/>
      <c r="F930" s="46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</row>
    <row r="931" spans="1:21" ht="15.6">
      <c r="A931" s="37"/>
      <c r="B931" s="37"/>
      <c r="C931" s="37"/>
      <c r="D931" s="37"/>
      <c r="E931" s="37"/>
      <c r="F931" s="46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</row>
    <row r="932" spans="1:21" ht="15.6">
      <c r="A932" s="37"/>
      <c r="B932" s="37"/>
      <c r="C932" s="37"/>
      <c r="D932" s="37"/>
      <c r="E932" s="37"/>
      <c r="F932" s="46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</row>
    <row r="933" spans="1:21" ht="15.6">
      <c r="A933" s="37"/>
      <c r="B933" s="37"/>
      <c r="C933" s="37"/>
      <c r="D933" s="37"/>
      <c r="E933" s="37"/>
      <c r="F933" s="46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</row>
    <row r="934" spans="1:21" ht="15.6">
      <c r="A934" s="37"/>
      <c r="B934" s="37"/>
      <c r="C934" s="37"/>
      <c r="D934" s="37"/>
      <c r="E934" s="37"/>
      <c r="F934" s="46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</row>
    <row r="935" spans="1:21" ht="15.6">
      <c r="A935" s="37"/>
      <c r="B935" s="37"/>
      <c r="C935" s="37"/>
      <c r="D935" s="37"/>
      <c r="E935" s="37"/>
      <c r="F935" s="46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</row>
    <row r="936" spans="1:21" ht="15.6">
      <c r="A936" s="37"/>
      <c r="B936" s="37"/>
      <c r="C936" s="37"/>
      <c r="D936" s="37"/>
      <c r="E936" s="37"/>
      <c r="F936" s="46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</row>
    <row r="937" spans="1:21" ht="15.6">
      <c r="A937" s="37"/>
      <c r="B937" s="37"/>
      <c r="C937" s="37"/>
      <c r="D937" s="37"/>
      <c r="E937" s="37"/>
      <c r="F937" s="46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</row>
    <row r="938" spans="1:21" ht="15.6">
      <c r="A938" s="37"/>
      <c r="B938" s="37"/>
      <c r="C938" s="37"/>
      <c r="D938" s="37"/>
      <c r="E938" s="37"/>
      <c r="F938" s="46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</row>
    <row r="939" spans="1:21" ht="15.6">
      <c r="A939" s="37"/>
      <c r="B939" s="37"/>
      <c r="C939" s="37"/>
      <c r="D939" s="37"/>
      <c r="E939" s="37"/>
      <c r="F939" s="46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</row>
    <row r="940" spans="1:21" ht="15.6">
      <c r="A940" s="37"/>
      <c r="B940" s="37"/>
      <c r="C940" s="37"/>
      <c r="D940" s="37"/>
      <c r="E940" s="37"/>
      <c r="F940" s="46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</row>
    <row r="941" spans="1:21" ht="15.6">
      <c r="A941" s="37"/>
      <c r="B941" s="37"/>
      <c r="C941" s="37"/>
      <c r="D941" s="37"/>
      <c r="E941" s="37"/>
      <c r="F941" s="46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</row>
    <row r="942" spans="1:21" ht="15.6">
      <c r="A942" s="37"/>
      <c r="B942" s="37"/>
      <c r="C942" s="37"/>
      <c r="D942" s="37"/>
      <c r="E942" s="37"/>
      <c r="F942" s="46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</row>
    <row r="943" spans="1:21" ht="15.6">
      <c r="A943" s="37"/>
      <c r="B943" s="37"/>
      <c r="C943" s="37"/>
      <c r="D943" s="37"/>
      <c r="E943" s="37"/>
      <c r="F943" s="46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</row>
    <row r="944" spans="1:21" ht="15.6">
      <c r="A944" s="37"/>
      <c r="B944" s="37"/>
      <c r="C944" s="37"/>
      <c r="D944" s="37"/>
      <c r="E944" s="37"/>
      <c r="F944" s="46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</row>
    <row r="945" spans="1:21" ht="15.6">
      <c r="A945" s="37"/>
      <c r="B945" s="37"/>
      <c r="C945" s="37"/>
      <c r="D945" s="37"/>
      <c r="E945" s="37"/>
      <c r="F945" s="46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</row>
    <row r="946" spans="1:21" ht="15.6">
      <c r="A946" s="37"/>
      <c r="B946" s="37"/>
      <c r="C946" s="37"/>
      <c r="D946" s="37"/>
      <c r="E946" s="37"/>
      <c r="F946" s="46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</row>
    <row r="947" spans="1:21" ht="15.6">
      <c r="A947" s="37"/>
      <c r="B947" s="37"/>
      <c r="C947" s="37"/>
      <c r="D947" s="37"/>
      <c r="E947" s="37"/>
      <c r="F947" s="46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</row>
    <row r="948" spans="1:21" ht="15.6">
      <c r="A948" s="37"/>
      <c r="B948" s="37"/>
      <c r="C948" s="37"/>
      <c r="D948" s="37"/>
      <c r="E948" s="37"/>
      <c r="F948" s="46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</row>
    <row r="949" spans="1:21" ht="15.6">
      <c r="A949" s="37"/>
      <c r="B949" s="37"/>
      <c r="C949" s="37"/>
      <c r="D949" s="37"/>
      <c r="E949" s="37"/>
      <c r="F949" s="46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</row>
    <row r="950" spans="1:21" ht="15.6">
      <c r="A950" s="37"/>
      <c r="B950" s="37"/>
      <c r="C950" s="37"/>
      <c r="D950" s="37"/>
      <c r="E950" s="37"/>
      <c r="F950" s="46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</row>
    <row r="951" spans="1:21" ht="15.6">
      <c r="A951" s="37"/>
      <c r="B951" s="37"/>
      <c r="C951" s="37"/>
      <c r="D951" s="37"/>
      <c r="E951" s="37"/>
      <c r="F951" s="46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</row>
    <row r="952" spans="1:21" ht="15.6">
      <c r="A952" s="37"/>
      <c r="B952" s="37"/>
      <c r="C952" s="37"/>
      <c r="D952" s="37"/>
      <c r="E952" s="37"/>
      <c r="F952" s="46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</row>
    <row r="953" spans="1:21" ht="15.6">
      <c r="A953" s="37"/>
      <c r="B953" s="37"/>
      <c r="C953" s="37"/>
      <c r="D953" s="37"/>
      <c r="E953" s="37"/>
      <c r="F953" s="46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</row>
    <row r="954" spans="1:21" ht="15.6">
      <c r="A954" s="37"/>
      <c r="B954" s="37"/>
      <c r="C954" s="37"/>
      <c r="D954" s="37"/>
      <c r="E954" s="37"/>
      <c r="F954" s="46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</row>
    <row r="955" spans="1:21" ht="15.6">
      <c r="A955" s="37"/>
      <c r="B955" s="37"/>
      <c r="C955" s="37"/>
      <c r="D955" s="37"/>
      <c r="E955" s="37"/>
      <c r="F955" s="46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</row>
    <row r="956" spans="1:21" ht="15.6">
      <c r="A956" s="37"/>
      <c r="B956" s="37"/>
      <c r="C956" s="37"/>
      <c r="D956" s="37"/>
      <c r="E956" s="37"/>
      <c r="F956" s="46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</row>
    <row r="957" spans="1:21" ht="15.6">
      <c r="A957" s="37"/>
      <c r="B957" s="37"/>
      <c r="C957" s="37"/>
      <c r="D957" s="37"/>
      <c r="E957" s="37"/>
      <c r="F957" s="46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</row>
    <row r="958" spans="1:21" ht="15.6">
      <c r="A958" s="37"/>
      <c r="B958" s="37"/>
      <c r="C958" s="37"/>
      <c r="D958" s="37"/>
      <c r="E958" s="37"/>
      <c r="F958" s="46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</row>
    <row r="959" spans="1:21" ht="15.6">
      <c r="A959" s="37"/>
      <c r="B959" s="37"/>
      <c r="C959" s="37"/>
      <c r="D959" s="37"/>
      <c r="E959" s="37"/>
      <c r="F959" s="46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</row>
    <row r="960" spans="1:21" ht="15.6">
      <c r="A960" s="37"/>
      <c r="B960" s="37"/>
      <c r="C960" s="37"/>
      <c r="D960" s="37"/>
      <c r="E960" s="37"/>
      <c r="F960" s="46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</row>
    <row r="961" spans="1:21" ht="15.6">
      <c r="A961" s="37"/>
      <c r="B961" s="37"/>
      <c r="C961" s="37"/>
      <c r="D961" s="37"/>
      <c r="E961" s="37"/>
      <c r="F961" s="46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</row>
    <row r="962" spans="1:21" ht="15.6">
      <c r="A962" s="37"/>
      <c r="B962" s="37"/>
      <c r="C962" s="37"/>
      <c r="D962" s="37"/>
      <c r="E962" s="37"/>
      <c r="F962" s="46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</row>
    <row r="963" spans="1:21" ht="15.6">
      <c r="A963" s="37"/>
      <c r="B963" s="37"/>
      <c r="C963" s="37"/>
      <c r="D963" s="37"/>
      <c r="E963" s="37"/>
      <c r="F963" s="46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</row>
    <row r="964" spans="1:21" ht="15.6">
      <c r="A964" s="37"/>
      <c r="B964" s="37"/>
      <c r="C964" s="37"/>
      <c r="D964" s="37"/>
      <c r="E964" s="37"/>
      <c r="F964" s="46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</row>
    <row r="965" spans="1:21" ht="15.6">
      <c r="A965" s="37"/>
      <c r="B965" s="37"/>
      <c r="C965" s="37"/>
      <c r="D965" s="37"/>
      <c r="E965" s="37"/>
      <c r="F965" s="46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</row>
    <row r="966" spans="1:21" ht="15.6">
      <c r="A966" s="37"/>
      <c r="B966" s="37"/>
      <c r="C966" s="37"/>
      <c r="D966" s="37"/>
      <c r="E966" s="37"/>
      <c r="F966" s="46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</row>
    <row r="967" spans="1:21" ht="15.6">
      <c r="A967" s="37"/>
      <c r="B967" s="37"/>
      <c r="C967" s="37"/>
      <c r="D967" s="37"/>
      <c r="E967" s="37"/>
      <c r="F967" s="46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</row>
    <row r="968" spans="1:21" ht="15.6">
      <c r="A968" s="37"/>
      <c r="B968" s="37"/>
      <c r="C968" s="37"/>
      <c r="D968" s="37"/>
      <c r="E968" s="37"/>
      <c r="F968" s="46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</row>
    <row r="969" spans="1:21" ht="15.6">
      <c r="A969" s="37"/>
      <c r="B969" s="37"/>
      <c r="C969" s="37"/>
      <c r="D969" s="37"/>
      <c r="E969" s="37"/>
      <c r="F969" s="46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</row>
    <row r="970" spans="1:21" ht="15.6">
      <c r="A970" s="37"/>
      <c r="B970" s="37"/>
      <c r="C970" s="37"/>
      <c r="D970" s="37"/>
      <c r="E970" s="37"/>
      <c r="F970" s="46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</row>
    <row r="971" spans="1:21" ht="15.6">
      <c r="A971" s="37"/>
      <c r="B971" s="37"/>
      <c r="C971" s="37"/>
      <c r="D971" s="37"/>
      <c r="E971" s="37"/>
      <c r="F971" s="46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</row>
    <row r="972" spans="1:21" ht="15.6">
      <c r="A972" s="37"/>
      <c r="B972" s="37"/>
      <c r="C972" s="37"/>
      <c r="D972" s="37"/>
      <c r="E972" s="37"/>
      <c r="F972" s="46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</row>
    <row r="973" spans="1:21" ht="15.6">
      <c r="A973" s="37"/>
      <c r="B973" s="37"/>
      <c r="C973" s="37"/>
      <c r="D973" s="37"/>
      <c r="E973" s="37"/>
      <c r="F973" s="46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</row>
    <row r="974" spans="1:21" ht="15.6">
      <c r="A974" s="37"/>
      <c r="B974" s="37"/>
      <c r="C974" s="37"/>
      <c r="D974" s="37"/>
      <c r="E974" s="37"/>
      <c r="F974" s="46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</row>
    <row r="975" spans="1:21" ht="15.6">
      <c r="A975" s="37"/>
      <c r="B975" s="37"/>
      <c r="C975" s="37"/>
      <c r="D975" s="37"/>
      <c r="E975" s="37"/>
      <c r="F975" s="46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</row>
    <row r="976" spans="1:21" ht="15.6">
      <c r="A976" s="37"/>
      <c r="B976" s="37"/>
      <c r="C976" s="37"/>
      <c r="D976" s="37"/>
      <c r="E976" s="37"/>
      <c r="F976" s="46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</row>
    <row r="977" spans="1:21" ht="15.6">
      <c r="A977" s="37"/>
      <c r="B977" s="37"/>
      <c r="C977" s="37"/>
      <c r="D977" s="37"/>
      <c r="E977" s="37"/>
      <c r="F977" s="46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</row>
    <row r="978" spans="1:21" ht="15.6">
      <c r="A978" s="37"/>
      <c r="B978" s="37"/>
      <c r="C978" s="37"/>
      <c r="D978" s="37"/>
      <c r="E978" s="37"/>
      <c r="F978" s="46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</row>
    <row r="979" spans="1:21" ht="15.6">
      <c r="A979" s="37"/>
      <c r="B979" s="37"/>
      <c r="C979" s="37"/>
      <c r="D979" s="37"/>
      <c r="E979" s="37"/>
      <c r="F979" s="46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</row>
    <row r="980" spans="1:21" ht="15.6">
      <c r="A980" s="37"/>
      <c r="B980" s="37"/>
      <c r="C980" s="37"/>
      <c r="D980" s="37"/>
      <c r="E980" s="37"/>
      <c r="F980" s="46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</row>
    <row r="981" spans="1:21" ht="15.6">
      <c r="A981" s="37"/>
      <c r="B981" s="37"/>
      <c r="C981" s="37"/>
      <c r="D981" s="37"/>
      <c r="E981" s="37"/>
      <c r="F981" s="46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</row>
    <row r="982" spans="1:21" ht="15.6">
      <c r="A982" s="37"/>
      <c r="B982" s="37"/>
      <c r="C982" s="37"/>
      <c r="D982" s="37"/>
      <c r="E982" s="37"/>
      <c r="F982" s="46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</row>
    <row r="983" spans="1:21" ht="15.6">
      <c r="A983" s="37"/>
      <c r="B983" s="37"/>
      <c r="C983" s="37"/>
      <c r="D983" s="37"/>
      <c r="E983" s="37"/>
      <c r="F983" s="46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</row>
    <row r="984" spans="1:21" ht="15.6">
      <c r="A984" s="37"/>
      <c r="B984" s="37"/>
      <c r="C984" s="37"/>
      <c r="D984" s="37"/>
      <c r="E984" s="37"/>
      <c r="F984" s="46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</row>
    <row r="985" spans="1:21" ht="15.6">
      <c r="A985" s="37"/>
      <c r="B985" s="37"/>
      <c r="C985" s="37"/>
      <c r="D985" s="37"/>
      <c r="E985" s="37"/>
      <c r="F985" s="46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</row>
    <row r="986" spans="1:21" ht="15.6">
      <c r="A986" s="37"/>
      <c r="B986" s="37"/>
      <c r="C986" s="37"/>
      <c r="D986" s="37"/>
      <c r="E986" s="37"/>
      <c r="F986" s="46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</row>
    <row r="987" spans="1:21" ht="15.6">
      <c r="A987" s="37"/>
      <c r="B987" s="37"/>
      <c r="C987" s="37"/>
      <c r="D987" s="37"/>
      <c r="E987" s="37"/>
      <c r="F987" s="46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</row>
    <row r="988" spans="1:21" ht="15.6">
      <c r="A988" s="37"/>
      <c r="B988" s="37"/>
      <c r="C988" s="37"/>
      <c r="D988" s="37"/>
      <c r="E988" s="37"/>
      <c r="F988" s="46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</row>
    <row r="989" spans="1:21" ht="15.6">
      <c r="A989" s="37"/>
      <c r="B989" s="37"/>
      <c r="C989" s="37"/>
      <c r="D989" s="37"/>
      <c r="E989" s="37"/>
      <c r="F989" s="46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</row>
    <row r="990" spans="1:21" ht="15.6">
      <c r="A990" s="37"/>
      <c r="B990" s="37"/>
      <c r="C990" s="37"/>
      <c r="D990" s="37"/>
      <c r="E990" s="37"/>
      <c r="F990" s="46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</row>
    <row r="991" spans="1:21" ht="15.6">
      <c r="A991" s="37"/>
      <c r="B991" s="37"/>
      <c r="C991" s="37"/>
      <c r="D991" s="37"/>
      <c r="E991" s="37"/>
      <c r="F991" s="46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</row>
    <row r="992" spans="1:21" ht="15.6">
      <c r="A992" s="37"/>
      <c r="B992" s="37"/>
      <c r="C992" s="37"/>
      <c r="D992" s="37"/>
      <c r="E992" s="37"/>
      <c r="F992" s="46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</row>
    <row r="993" spans="1:21" ht="15.6">
      <c r="A993" s="37"/>
      <c r="B993" s="37"/>
      <c r="C993" s="37"/>
      <c r="D993" s="37"/>
      <c r="E993" s="37"/>
      <c r="F993" s="46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</row>
    <row r="994" spans="1:21" ht="15.6">
      <c r="A994" s="37"/>
      <c r="B994" s="37"/>
      <c r="C994" s="37"/>
      <c r="D994" s="37"/>
      <c r="E994" s="37"/>
      <c r="F994" s="46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</row>
    <row r="995" spans="1:21" ht="15.6">
      <c r="A995" s="37"/>
      <c r="B995" s="37"/>
      <c r="C995" s="37"/>
      <c r="D995" s="37"/>
      <c r="E995" s="37"/>
      <c r="F995" s="46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</row>
    <row r="996" spans="1:21" ht="15.6">
      <c r="A996" s="37"/>
      <c r="B996" s="37"/>
      <c r="C996" s="37"/>
      <c r="D996" s="37"/>
      <c r="E996" s="37"/>
      <c r="F996" s="46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</row>
    <row r="997" spans="1:21" ht="15.6">
      <c r="A997" s="37"/>
      <c r="B997" s="37"/>
      <c r="C997" s="37"/>
      <c r="D997" s="37"/>
      <c r="E997" s="37"/>
      <c r="F997" s="46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</row>
    <row r="998" spans="1:21" ht="15.6">
      <c r="A998" s="37"/>
      <c r="B998" s="37"/>
      <c r="C998" s="37"/>
      <c r="D998" s="37"/>
      <c r="E998" s="37"/>
      <c r="F998" s="46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</row>
    <row r="999" spans="1:21" ht="15.6">
      <c r="A999" s="37"/>
      <c r="B999" s="37"/>
      <c r="C999" s="37"/>
      <c r="D999" s="37"/>
      <c r="E999" s="37"/>
      <c r="F999" s="46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</row>
    <row r="1000" spans="1:21" ht="15.6">
      <c r="A1000" s="37"/>
      <c r="B1000" s="37"/>
      <c r="C1000" s="37"/>
      <c r="D1000" s="37"/>
      <c r="E1000" s="37"/>
      <c r="F1000" s="46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</row>
    <row r="1001" spans="1:21" ht="15.6">
      <c r="A1001" s="37"/>
      <c r="B1001" s="37"/>
      <c r="C1001" s="37"/>
      <c r="D1001" s="37"/>
      <c r="E1001" s="37"/>
      <c r="F1001" s="46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  <c r="S1001" s="37"/>
      <c r="T1001" s="37"/>
      <c r="U1001" s="37"/>
    </row>
    <row r="1002" spans="1:21" ht="15.6">
      <c r="A1002" s="37"/>
      <c r="B1002" s="37"/>
      <c r="C1002" s="37"/>
      <c r="D1002" s="37"/>
      <c r="E1002" s="37"/>
      <c r="F1002" s="46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  <c r="S1002" s="37"/>
      <c r="T1002" s="37"/>
      <c r="U1002" s="37"/>
    </row>
    <row r="1003" spans="1:21" ht="15.6">
      <c r="A1003" s="37"/>
      <c r="B1003" s="37"/>
      <c r="C1003" s="37"/>
      <c r="D1003" s="37"/>
      <c r="E1003" s="37"/>
      <c r="F1003" s="46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  <c r="S1003" s="37"/>
      <c r="T1003" s="37"/>
      <c r="U1003" s="37"/>
    </row>
    <row r="1004" spans="1:21" ht="15.6">
      <c r="A1004" s="37"/>
      <c r="B1004" s="37"/>
      <c r="C1004" s="37"/>
      <c r="D1004" s="37"/>
      <c r="E1004" s="37"/>
      <c r="F1004" s="46"/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  <c r="Q1004" s="37"/>
      <c r="R1004" s="37"/>
      <c r="S1004" s="37"/>
      <c r="T1004" s="37"/>
      <c r="U1004" s="37"/>
    </row>
    <row r="1005" spans="1:21" ht="15.6">
      <c r="A1005" s="37"/>
      <c r="B1005" s="37"/>
      <c r="C1005" s="37"/>
      <c r="D1005" s="37"/>
      <c r="E1005" s="37"/>
      <c r="F1005" s="46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</row>
    <row r="1006" spans="1:21" ht="15.6">
      <c r="A1006" s="37"/>
      <c r="B1006" s="37"/>
      <c r="C1006" s="37"/>
      <c r="D1006" s="37"/>
      <c r="E1006" s="37"/>
      <c r="F1006" s="46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</row>
    <row r="1007" spans="1:21" ht="15.6">
      <c r="A1007" s="37"/>
      <c r="B1007" s="37"/>
      <c r="C1007" s="37"/>
      <c r="D1007" s="37"/>
      <c r="E1007" s="37"/>
      <c r="F1007" s="46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</row>
    <row r="1008" spans="1:21" ht="15.6">
      <c r="A1008" s="37"/>
      <c r="B1008" s="37"/>
      <c r="C1008" s="37"/>
      <c r="D1008" s="37"/>
      <c r="E1008" s="37"/>
      <c r="F1008" s="46"/>
      <c r="G1008" s="37"/>
      <c r="H1008" s="37"/>
      <c r="I1008" s="37"/>
      <c r="J1008" s="37"/>
      <c r="K1008" s="37"/>
      <c r="L1008" s="37"/>
      <c r="M1008" s="37"/>
      <c r="N1008" s="37"/>
      <c r="O1008" s="37"/>
      <c r="P1008" s="37"/>
      <c r="Q1008" s="37"/>
      <c r="R1008" s="37"/>
      <c r="S1008" s="37"/>
      <c r="T1008" s="37"/>
      <c r="U1008" s="37"/>
    </row>
    <row r="1009" spans="1:21" ht="15.6">
      <c r="A1009" s="37"/>
      <c r="B1009" s="37"/>
      <c r="C1009" s="37"/>
      <c r="D1009" s="37"/>
      <c r="E1009" s="37"/>
      <c r="F1009" s="46"/>
      <c r="G1009" s="37"/>
      <c r="H1009" s="37"/>
      <c r="I1009" s="37"/>
      <c r="J1009" s="37"/>
      <c r="K1009" s="37"/>
      <c r="L1009" s="37"/>
      <c r="M1009" s="37"/>
      <c r="N1009" s="37"/>
      <c r="O1009" s="37"/>
      <c r="P1009" s="37"/>
      <c r="Q1009" s="37"/>
      <c r="R1009" s="37"/>
      <c r="S1009" s="37"/>
      <c r="T1009" s="37"/>
      <c r="U1009" s="37"/>
    </row>
    <row r="1010" spans="1:21" ht="15.6">
      <c r="A1010" s="37"/>
      <c r="B1010" s="37"/>
      <c r="C1010" s="37"/>
      <c r="D1010" s="37"/>
      <c r="E1010" s="37"/>
      <c r="F1010" s="46"/>
      <c r="G1010" s="37"/>
      <c r="H1010" s="37"/>
      <c r="I1010" s="37"/>
      <c r="J1010" s="37"/>
      <c r="K1010" s="37"/>
      <c r="L1010" s="37"/>
      <c r="M1010" s="37"/>
      <c r="N1010" s="37"/>
      <c r="O1010" s="37"/>
      <c r="P1010" s="37"/>
      <c r="Q1010" s="37"/>
      <c r="R1010" s="37"/>
      <c r="S1010" s="37"/>
      <c r="T1010" s="37"/>
      <c r="U1010" s="37"/>
    </row>
    <row r="1011" spans="1:21" ht="15.6">
      <c r="A1011" s="37"/>
      <c r="B1011" s="37"/>
      <c r="C1011" s="37"/>
      <c r="D1011" s="37"/>
      <c r="E1011" s="37"/>
      <c r="F1011" s="46"/>
      <c r="G1011" s="37"/>
      <c r="H1011" s="37"/>
      <c r="I1011" s="37"/>
      <c r="J1011" s="37"/>
      <c r="K1011" s="37"/>
      <c r="L1011" s="37"/>
      <c r="M1011" s="37"/>
      <c r="N1011" s="37"/>
      <c r="O1011" s="37"/>
      <c r="P1011" s="37"/>
      <c r="Q1011" s="37"/>
      <c r="R1011" s="37"/>
      <c r="S1011" s="37"/>
      <c r="T1011" s="37"/>
      <c r="U1011" s="37"/>
    </row>
    <row r="1012" spans="1:21" ht="15.6">
      <c r="A1012" s="37"/>
      <c r="B1012" s="37"/>
      <c r="C1012" s="37"/>
      <c r="D1012" s="37"/>
      <c r="E1012" s="37"/>
      <c r="F1012" s="46"/>
      <c r="G1012" s="37"/>
      <c r="H1012" s="37"/>
      <c r="I1012" s="37"/>
      <c r="J1012" s="37"/>
      <c r="K1012" s="37"/>
      <c r="L1012" s="37"/>
      <c r="M1012" s="37"/>
      <c r="N1012" s="37"/>
      <c r="O1012" s="37"/>
      <c r="P1012" s="37"/>
      <c r="Q1012" s="37"/>
      <c r="R1012" s="37"/>
      <c r="S1012" s="37"/>
      <c r="T1012" s="37"/>
      <c r="U1012" s="37"/>
    </row>
    <row r="1013" spans="1:21" ht="15.6">
      <c r="A1013" s="37"/>
      <c r="B1013" s="37"/>
      <c r="C1013" s="37"/>
      <c r="D1013" s="37"/>
      <c r="E1013" s="37"/>
      <c r="F1013" s="46"/>
      <c r="G1013" s="37"/>
      <c r="H1013" s="37"/>
      <c r="I1013" s="37"/>
      <c r="J1013" s="37"/>
      <c r="K1013" s="37"/>
      <c r="L1013" s="37"/>
      <c r="M1013" s="37"/>
      <c r="N1013" s="37"/>
      <c r="O1013" s="37"/>
      <c r="P1013" s="37"/>
      <c r="Q1013" s="37"/>
      <c r="R1013" s="37"/>
      <c r="S1013" s="37"/>
      <c r="T1013" s="37"/>
      <c r="U1013" s="37"/>
    </row>
    <row r="1014" spans="1:21" ht="15.6">
      <c r="A1014" s="37"/>
      <c r="B1014" s="37"/>
      <c r="C1014" s="37"/>
      <c r="D1014" s="37"/>
      <c r="E1014" s="37"/>
      <c r="F1014" s="46"/>
      <c r="G1014" s="37"/>
      <c r="H1014" s="37"/>
      <c r="I1014" s="37"/>
      <c r="J1014" s="37"/>
      <c r="K1014" s="37"/>
      <c r="L1014" s="37"/>
      <c r="M1014" s="37"/>
      <c r="N1014" s="37"/>
      <c r="O1014" s="37"/>
      <c r="P1014" s="37"/>
      <c r="Q1014" s="37"/>
      <c r="R1014" s="37"/>
      <c r="S1014" s="37"/>
      <c r="T1014" s="37"/>
      <c r="U1014" s="37"/>
    </row>
    <row r="1015" spans="1:21" ht="15.6">
      <c r="A1015" s="37"/>
      <c r="B1015" s="37"/>
      <c r="C1015" s="37"/>
      <c r="D1015" s="37"/>
      <c r="E1015" s="37"/>
      <c r="F1015" s="46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</row>
    <row r="1016" spans="1:21" ht="15.6">
      <c r="A1016" s="37"/>
      <c r="B1016" s="37"/>
      <c r="C1016" s="37"/>
      <c r="D1016" s="37"/>
      <c r="E1016" s="37"/>
      <c r="F1016" s="46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</row>
    <row r="1017" spans="1:21" ht="15.6">
      <c r="A1017" s="37"/>
      <c r="B1017" s="37"/>
      <c r="C1017" s="37"/>
      <c r="D1017" s="37"/>
      <c r="E1017" s="37"/>
      <c r="F1017" s="46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</row>
    <row r="1018" spans="1:21" ht="15.6">
      <c r="A1018" s="37"/>
      <c r="B1018" s="37"/>
      <c r="C1018" s="37"/>
      <c r="D1018" s="37"/>
      <c r="E1018" s="37"/>
      <c r="F1018" s="46"/>
      <c r="G1018" s="37"/>
      <c r="H1018" s="37"/>
      <c r="I1018" s="37"/>
      <c r="J1018" s="37"/>
      <c r="K1018" s="37"/>
      <c r="L1018" s="37"/>
      <c r="M1018" s="37"/>
      <c r="N1018" s="37"/>
      <c r="O1018" s="37"/>
      <c r="P1018" s="37"/>
      <c r="Q1018" s="37"/>
      <c r="R1018" s="37"/>
      <c r="S1018" s="37"/>
      <c r="T1018" s="37"/>
      <c r="U1018" s="37"/>
    </row>
    <row r="1019" spans="1:21" ht="15.6">
      <c r="A1019" s="37"/>
      <c r="B1019" s="37"/>
      <c r="C1019" s="37"/>
      <c r="D1019" s="37"/>
      <c r="E1019" s="37"/>
      <c r="F1019" s="46"/>
      <c r="G1019" s="37"/>
      <c r="H1019" s="37"/>
      <c r="I1019" s="37"/>
      <c r="J1019" s="37"/>
      <c r="K1019" s="37"/>
      <c r="L1019" s="37"/>
      <c r="M1019" s="37"/>
      <c r="N1019" s="37"/>
      <c r="O1019" s="37"/>
      <c r="P1019" s="37"/>
      <c r="Q1019" s="37"/>
      <c r="R1019" s="37"/>
      <c r="S1019" s="37"/>
      <c r="T1019" s="37"/>
      <c r="U1019" s="37"/>
    </row>
    <row r="1020" spans="1:21" ht="15.6">
      <c r="A1020" s="37"/>
      <c r="B1020" s="37"/>
      <c r="C1020" s="37"/>
      <c r="D1020" s="37"/>
      <c r="E1020" s="37"/>
      <c r="F1020" s="46"/>
      <c r="G1020" s="37"/>
      <c r="H1020" s="37"/>
      <c r="I1020" s="37"/>
      <c r="J1020" s="37"/>
      <c r="K1020" s="37"/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</row>
    <row r="1021" spans="1:21" ht="15.6">
      <c r="A1021" s="37"/>
      <c r="B1021" s="37"/>
      <c r="C1021" s="37"/>
      <c r="D1021" s="37"/>
      <c r="E1021" s="37"/>
      <c r="F1021" s="46"/>
      <c r="G1021" s="37"/>
      <c r="H1021" s="37"/>
      <c r="I1021" s="37"/>
      <c r="J1021" s="37"/>
      <c r="K1021" s="37"/>
      <c r="L1021" s="37"/>
      <c r="M1021" s="37"/>
      <c r="N1021" s="37"/>
      <c r="O1021" s="37"/>
      <c r="P1021" s="37"/>
      <c r="Q1021" s="37"/>
      <c r="R1021" s="37"/>
      <c r="S1021" s="37"/>
      <c r="T1021" s="37"/>
      <c r="U1021" s="37"/>
    </row>
    <row r="1022" spans="1:21" ht="15.6">
      <c r="A1022" s="37"/>
      <c r="B1022" s="37"/>
      <c r="C1022" s="37"/>
      <c r="D1022" s="37"/>
      <c r="E1022" s="37"/>
      <c r="F1022" s="46"/>
      <c r="G1022" s="37"/>
      <c r="H1022" s="37"/>
      <c r="I1022" s="37"/>
      <c r="J1022" s="37"/>
      <c r="K1022" s="37"/>
      <c r="L1022" s="37"/>
      <c r="M1022" s="37"/>
      <c r="N1022" s="37"/>
      <c r="O1022" s="37"/>
      <c r="P1022" s="37"/>
      <c r="Q1022" s="37"/>
      <c r="R1022" s="37"/>
      <c r="S1022" s="37"/>
      <c r="T1022" s="37"/>
      <c r="U1022" s="37"/>
    </row>
    <row r="1023" spans="1:21" ht="15.6">
      <c r="A1023" s="37"/>
      <c r="B1023" s="37"/>
      <c r="C1023" s="37"/>
      <c r="D1023" s="37"/>
      <c r="E1023" s="37"/>
      <c r="F1023" s="46"/>
      <c r="G1023" s="37"/>
      <c r="H1023" s="37"/>
      <c r="I1023" s="37"/>
      <c r="J1023" s="37"/>
      <c r="K1023" s="37"/>
      <c r="L1023" s="37"/>
      <c r="M1023" s="37"/>
      <c r="N1023" s="37"/>
      <c r="O1023" s="37"/>
      <c r="P1023" s="37"/>
      <c r="Q1023" s="37"/>
      <c r="R1023" s="37"/>
      <c r="S1023" s="37"/>
      <c r="T1023" s="37"/>
      <c r="U1023" s="37"/>
    </row>
    <row r="1024" spans="1:21" ht="15.6">
      <c r="A1024" s="37"/>
      <c r="B1024" s="37"/>
      <c r="C1024" s="37"/>
      <c r="D1024" s="37"/>
      <c r="E1024" s="37"/>
      <c r="F1024" s="46"/>
      <c r="G1024" s="37"/>
      <c r="H1024" s="37"/>
      <c r="I1024" s="37"/>
      <c r="J1024" s="37"/>
      <c r="K1024" s="37"/>
      <c r="L1024" s="37"/>
      <c r="M1024" s="37"/>
      <c r="N1024" s="37"/>
      <c r="O1024" s="37"/>
      <c r="P1024" s="37"/>
      <c r="Q1024" s="37"/>
      <c r="R1024" s="37"/>
      <c r="S1024" s="37"/>
      <c r="T1024" s="37"/>
      <c r="U1024" s="37"/>
    </row>
    <row r="1025" spans="1:21" ht="15.6">
      <c r="A1025" s="37"/>
      <c r="B1025" s="37"/>
      <c r="C1025" s="37"/>
      <c r="D1025" s="37"/>
      <c r="E1025" s="37"/>
      <c r="F1025" s="46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</row>
    <row r="1026" spans="1:21" ht="15.6">
      <c r="A1026" s="37"/>
      <c r="B1026" s="37"/>
      <c r="C1026" s="37"/>
      <c r="D1026" s="37"/>
      <c r="E1026" s="37"/>
      <c r="F1026" s="46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</row>
    <row r="1027" spans="1:21" ht="15.6">
      <c r="A1027" s="37"/>
      <c r="B1027" s="37"/>
      <c r="C1027" s="37"/>
      <c r="D1027" s="37"/>
      <c r="E1027" s="37"/>
      <c r="F1027" s="46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</row>
    <row r="1028" spans="1:21" ht="15.6">
      <c r="A1028" s="37"/>
      <c r="B1028" s="37"/>
      <c r="C1028" s="37"/>
      <c r="D1028" s="37"/>
      <c r="E1028" s="37"/>
      <c r="F1028" s="46"/>
      <c r="G1028" s="37"/>
      <c r="H1028" s="37"/>
      <c r="I1028" s="37"/>
      <c r="J1028" s="37"/>
      <c r="K1028" s="37"/>
      <c r="L1028" s="37"/>
      <c r="M1028" s="37"/>
      <c r="N1028" s="37"/>
      <c r="O1028" s="37"/>
      <c r="P1028" s="37"/>
      <c r="Q1028" s="37"/>
      <c r="R1028" s="37"/>
      <c r="S1028" s="37"/>
      <c r="T1028" s="37"/>
      <c r="U1028" s="37"/>
    </row>
    <row r="1029" spans="1:21" ht="15.6">
      <c r="A1029" s="37"/>
      <c r="B1029" s="37"/>
      <c r="C1029" s="37"/>
      <c r="D1029" s="37"/>
      <c r="E1029" s="37"/>
      <c r="F1029" s="46"/>
      <c r="G1029" s="37"/>
      <c r="H1029" s="37"/>
      <c r="I1029" s="37"/>
      <c r="J1029" s="37"/>
      <c r="K1029" s="37"/>
      <c r="L1029" s="37"/>
      <c r="M1029" s="37"/>
      <c r="N1029" s="37"/>
      <c r="O1029" s="37"/>
      <c r="P1029" s="37"/>
      <c r="Q1029" s="37"/>
      <c r="R1029" s="37"/>
      <c r="S1029" s="37"/>
      <c r="T1029" s="37"/>
      <c r="U1029" s="37"/>
    </row>
    <row r="1030" spans="1:21" ht="15.6">
      <c r="A1030" s="37"/>
      <c r="B1030" s="37"/>
      <c r="C1030" s="37"/>
      <c r="D1030" s="37"/>
      <c r="E1030" s="37"/>
      <c r="F1030" s="46"/>
      <c r="G1030" s="37"/>
      <c r="H1030" s="37"/>
      <c r="I1030" s="37"/>
      <c r="J1030" s="37"/>
      <c r="K1030" s="37"/>
      <c r="L1030" s="37"/>
      <c r="M1030" s="37"/>
      <c r="N1030" s="37"/>
      <c r="O1030" s="37"/>
      <c r="P1030" s="37"/>
      <c r="Q1030" s="37"/>
      <c r="R1030" s="37"/>
      <c r="S1030" s="37"/>
      <c r="T1030" s="37"/>
      <c r="U1030" s="37"/>
    </row>
    <row r="1031" spans="1:21" ht="15.6">
      <c r="A1031" s="37"/>
      <c r="B1031" s="37"/>
      <c r="C1031" s="37"/>
      <c r="D1031" s="37"/>
      <c r="E1031" s="37"/>
      <c r="F1031" s="46"/>
      <c r="G1031" s="37"/>
      <c r="H1031" s="37"/>
      <c r="I1031" s="37"/>
      <c r="J1031" s="37"/>
      <c r="K1031" s="37"/>
      <c r="L1031" s="37"/>
      <c r="M1031" s="37"/>
      <c r="N1031" s="37"/>
      <c r="O1031" s="37"/>
      <c r="P1031" s="37"/>
      <c r="Q1031" s="37"/>
      <c r="R1031" s="37"/>
      <c r="S1031" s="37"/>
      <c r="T1031" s="37"/>
      <c r="U1031" s="37"/>
    </row>
    <row r="1032" spans="1:21" ht="15.6">
      <c r="A1032" s="37"/>
      <c r="B1032" s="37"/>
      <c r="C1032" s="37"/>
      <c r="D1032" s="37"/>
      <c r="E1032" s="37"/>
      <c r="F1032" s="46"/>
      <c r="G1032" s="37"/>
      <c r="H1032" s="37"/>
      <c r="I1032" s="37"/>
      <c r="J1032" s="37"/>
      <c r="K1032" s="37"/>
      <c r="L1032" s="37"/>
      <c r="M1032" s="37"/>
      <c r="N1032" s="37"/>
      <c r="O1032" s="37"/>
      <c r="P1032" s="37"/>
      <c r="Q1032" s="37"/>
      <c r="R1032" s="37"/>
      <c r="S1032" s="37"/>
      <c r="T1032" s="37"/>
      <c r="U1032" s="37"/>
    </row>
    <row r="1033" spans="1:21" ht="15.6">
      <c r="A1033" s="37"/>
      <c r="B1033" s="37"/>
      <c r="C1033" s="37"/>
      <c r="D1033" s="37"/>
      <c r="E1033" s="37"/>
      <c r="F1033" s="46"/>
      <c r="G1033" s="37"/>
      <c r="H1033" s="37"/>
      <c r="I1033" s="37"/>
      <c r="J1033" s="37"/>
      <c r="K1033" s="37"/>
      <c r="L1033" s="37"/>
      <c r="M1033" s="37"/>
      <c r="N1033" s="37"/>
      <c r="O1033" s="37"/>
      <c r="P1033" s="37"/>
      <c r="Q1033" s="37"/>
      <c r="R1033" s="37"/>
      <c r="S1033" s="37"/>
      <c r="T1033" s="37"/>
      <c r="U1033" s="37"/>
    </row>
    <row r="1034" spans="1:21" ht="15.6">
      <c r="A1034" s="37"/>
      <c r="B1034" s="37"/>
      <c r="C1034" s="37"/>
      <c r="D1034" s="37"/>
      <c r="E1034" s="37"/>
      <c r="F1034" s="46"/>
      <c r="G1034" s="37"/>
      <c r="H1034" s="37"/>
      <c r="I1034" s="37"/>
      <c r="J1034" s="37"/>
      <c r="K1034" s="37"/>
      <c r="L1034" s="37"/>
      <c r="M1034" s="37"/>
      <c r="N1034" s="37"/>
      <c r="O1034" s="37"/>
      <c r="P1034" s="37"/>
      <c r="Q1034" s="37"/>
      <c r="R1034" s="37"/>
      <c r="S1034" s="37"/>
      <c r="T1034" s="37"/>
      <c r="U1034" s="37"/>
    </row>
    <row r="1035" spans="1:21" ht="15.6">
      <c r="A1035" s="37"/>
      <c r="B1035" s="37"/>
      <c r="C1035" s="37"/>
      <c r="D1035" s="37"/>
      <c r="E1035" s="37"/>
      <c r="F1035" s="46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</row>
    <row r="1036" spans="1:21" ht="15.6">
      <c r="A1036" s="37"/>
      <c r="B1036" s="37"/>
      <c r="C1036" s="37"/>
      <c r="D1036" s="37"/>
      <c r="E1036" s="37"/>
      <c r="F1036" s="46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</row>
    <row r="1037" spans="1:21" ht="15.6">
      <c r="A1037" s="37"/>
      <c r="B1037" s="37"/>
      <c r="C1037" s="37"/>
      <c r="D1037" s="37"/>
      <c r="E1037" s="37"/>
      <c r="F1037" s="46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</row>
    <row r="1038" spans="1:21" ht="15.6">
      <c r="A1038" s="37"/>
      <c r="B1038" s="37"/>
      <c r="C1038" s="37"/>
      <c r="D1038" s="37"/>
      <c r="E1038" s="37"/>
      <c r="F1038" s="46"/>
      <c r="G1038" s="37"/>
      <c r="H1038" s="37"/>
      <c r="I1038" s="37"/>
      <c r="J1038" s="37"/>
      <c r="K1038" s="37"/>
      <c r="L1038" s="37"/>
      <c r="M1038" s="37"/>
      <c r="N1038" s="37"/>
      <c r="O1038" s="37"/>
      <c r="P1038" s="37"/>
      <c r="Q1038" s="37"/>
      <c r="R1038" s="37"/>
      <c r="S1038" s="37"/>
      <c r="T1038" s="37"/>
      <c r="U1038" s="37"/>
    </row>
    <row r="1039" spans="1:21" ht="15.6">
      <c r="A1039" s="37"/>
      <c r="B1039" s="37"/>
      <c r="C1039" s="37"/>
      <c r="D1039" s="37"/>
      <c r="E1039" s="37"/>
      <c r="F1039" s="46"/>
      <c r="G1039" s="37"/>
      <c r="H1039" s="37"/>
      <c r="I1039" s="37"/>
      <c r="J1039" s="37"/>
      <c r="K1039" s="37"/>
      <c r="L1039" s="37"/>
      <c r="M1039" s="37"/>
      <c r="N1039" s="37"/>
      <c r="O1039" s="37"/>
      <c r="P1039" s="37"/>
      <c r="Q1039" s="37"/>
      <c r="R1039" s="37"/>
      <c r="S1039" s="37"/>
      <c r="T1039" s="37"/>
      <c r="U1039" s="37"/>
    </row>
    <row r="1040" spans="1:21" ht="15.6">
      <c r="A1040" s="37"/>
      <c r="B1040" s="37"/>
      <c r="C1040" s="37"/>
      <c r="D1040" s="37"/>
      <c r="E1040" s="37"/>
      <c r="F1040" s="46"/>
      <c r="G1040" s="37"/>
      <c r="H1040" s="37"/>
      <c r="I1040" s="37"/>
      <c r="J1040" s="37"/>
      <c r="K1040" s="37"/>
      <c r="L1040" s="37"/>
      <c r="M1040" s="37"/>
      <c r="N1040" s="37"/>
      <c r="O1040" s="37"/>
      <c r="P1040" s="37"/>
      <c r="Q1040" s="37"/>
      <c r="R1040" s="37"/>
      <c r="S1040" s="37"/>
      <c r="T1040" s="37"/>
      <c r="U1040" s="37"/>
    </row>
    <row r="1041" spans="1:21" ht="15.6">
      <c r="A1041" s="37"/>
      <c r="B1041" s="37"/>
      <c r="C1041" s="37"/>
      <c r="D1041" s="37"/>
      <c r="E1041" s="37"/>
      <c r="F1041" s="46"/>
      <c r="G1041" s="37"/>
      <c r="H1041" s="37"/>
      <c r="I1041" s="37"/>
      <c r="J1041" s="37"/>
      <c r="K1041" s="37"/>
      <c r="L1041" s="37"/>
      <c r="M1041" s="37"/>
      <c r="N1041" s="37"/>
      <c r="O1041" s="37"/>
      <c r="P1041" s="37"/>
      <c r="Q1041" s="37"/>
      <c r="R1041" s="37"/>
      <c r="S1041" s="37"/>
      <c r="T1041" s="37"/>
      <c r="U1041" s="37"/>
    </row>
    <row r="1042" spans="1:21" ht="15.6">
      <c r="A1042" s="37"/>
      <c r="B1042" s="37"/>
      <c r="C1042" s="37"/>
      <c r="D1042" s="37"/>
      <c r="E1042" s="37"/>
      <c r="F1042" s="46"/>
      <c r="G1042" s="37"/>
      <c r="H1042" s="37"/>
      <c r="I1042" s="37"/>
      <c r="J1042" s="37"/>
      <c r="K1042" s="37"/>
      <c r="L1042" s="37"/>
      <c r="M1042" s="37"/>
      <c r="N1042" s="37"/>
      <c r="O1042" s="37"/>
      <c r="P1042" s="37"/>
      <c r="Q1042" s="37"/>
      <c r="R1042" s="37"/>
      <c r="S1042" s="37"/>
      <c r="T1042" s="37"/>
      <c r="U1042" s="37"/>
    </row>
    <row r="1043" spans="1:21" ht="15.6">
      <c r="A1043" s="37"/>
      <c r="B1043" s="37"/>
      <c r="C1043" s="37"/>
      <c r="D1043" s="37"/>
      <c r="E1043" s="37"/>
      <c r="F1043" s="46"/>
      <c r="G1043" s="37"/>
      <c r="H1043" s="37"/>
      <c r="I1043" s="37"/>
      <c r="J1043" s="37"/>
      <c r="K1043" s="37"/>
      <c r="L1043" s="37"/>
      <c r="M1043" s="37"/>
      <c r="N1043" s="37"/>
      <c r="O1043" s="37"/>
      <c r="P1043" s="37"/>
      <c r="Q1043" s="37"/>
      <c r="R1043" s="37"/>
      <c r="S1043" s="37"/>
      <c r="T1043" s="37"/>
      <c r="U1043" s="37"/>
    </row>
    <row r="1044" spans="1:21" ht="15.6">
      <c r="A1044" s="37"/>
      <c r="B1044" s="37"/>
      <c r="C1044" s="37"/>
      <c r="D1044" s="37"/>
      <c r="E1044" s="37"/>
      <c r="F1044" s="46"/>
      <c r="G1044" s="37"/>
      <c r="H1044" s="37"/>
      <c r="I1044" s="37"/>
      <c r="J1044" s="37"/>
      <c r="K1044" s="37"/>
      <c r="L1044" s="37"/>
      <c r="M1044" s="37"/>
      <c r="N1044" s="37"/>
      <c r="O1044" s="37"/>
      <c r="P1044" s="37"/>
      <c r="Q1044" s="37"/>
      <c r="R1044" s="37"/>
      <c r="S1044" s="37"/>
      <c r="T1044" s="37"/>
      <c r="U1044" s="37"/>
    </row>
    <row r="1045" spans="1:21" ht="15.6">
      <c r="A1045" s="37"/>
      <c r="B1045" s="37"/>
      <c r="C1045" s="37"/>
      <c r="D1045" s="37"/>
      <c r="E1045" s="37"/>
      <c r="F1045" s="46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</row>
    <row r="1046" spans="1:21" ht="15.6">
      <c r="A1046" s="37"/>
      <c r="B1046" s="37"/>
      <c r="C1046" s="37"/>
      <c r="D1046" s="37"/>
      <c r="E1046" s="37"/>
      <c r="F1046" s="46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</row>
    <row r="1047" spans="1:21" ht="15.6">
      <c r="A1047" s="37"/>
      <c r="B1047" s="37"/>
      <c r="C1047" s="37"/>
      <c r="D1047" s="37"/>
      <c r="E1047" s="37"/>
      <c r="F1047" s="46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</row>
    <row r="1048" spans="1:21" ht="15.6">
      <c r="A1048" s="37"/>
      <c r="B1048" s="37"/>
      <c r="C1048" s="37"/>
      <c r="D1048" s="37"/>
      <c r="E1048" s="37"/>
      <c r="F1048" s="46"/>
      <c r="G1048" s="37"/>
      <c r="H1048" s="37"/>
      <c r="I1048" s="37"/>
      <c r="J1048" s="37"/>
      <c r="K1048" s="37"/>
      <c r="L1048" s="37"/>
      <c r="M1048" s="37"/>
      <c r="N1048" s="37"/>
      <c r="O1048" s="37"/>
      <c r="P1048" s="37"/>
      <c r="Q1048" s="37"/>
      <c r="R1048" s="37"/>
      <c r="S1048" s="37"/>
      <c r="T1048" s="37"/>
      <c r="U1048" s="37"/>
    </row>
    <row r="1049" spans="1:21" ht="15.6">
      <c r="A1049" s="37"/>
      <c r="B1049" s="37"/>
      <c r="C1049" s="37"/>
      <c r="D1049" s="37"/>
      <c r="E1049" s="37"/>
      <c r="F1049" s="46"/>
      <c r="G1049" s="37"/>
      <c r="H1049" s="37"/>
      <c r="I1049" s="37"/>
      <c r="J1049" s="37"/>
      <c r="K1049" s="37"/>
      <c r="L1049" s="37"/>
      <c r="M1049" s="37"/>
      <c r="N1049" s="37"/>
      <c r="O1049" s="37"/>
      <c r="P1049" s="37"/>
      <c r="Q1049" s="37"/>
      <c r="R1049" s="37"/>
      <c r="S1049" s="37"/>
      <c r="T1049" s="37"/>
      <c r="U1049" s="37"/>
    </row>
    <row r="1050" spans="1:21" ht="15.6">
      <c r="A1050" s="37"/>
      <c r="B1050" s="37"/>
      <c r="C1050" s="37"/>
      <c r="D1050" s="37"/>
      <c r="E1050" s="37"/>
      <c r="F1050" s="46"/>
      <c r="G1050" s="37"/>
      <c r="H1050" s="37"/>
      <c r="I1050" s="37"/>
      <c r="J1050" s="37"/>
      <c r="K1050" s="37"/>
      <c r="L1050" s="37"/>
      <c r="M1050" s="37"/>
      <c r="N1050" s="37"/>
      <c r="O1050" s="37"/>
      <c r="P1050" s="37"/>
      <c r="Q1050" s="37"/>
      <c r="R1050" s="37"/>
      <c r="S1050" s="37"/>
      <c r="T1050" s="37"/>
      <c r="U1050" s="37"/>
    </row>
    <row r="1051" spans="1:21" ht="15.6">
      <c r="A1051" s="37"/>
      <c r="B1051" s="37"/>
      <c r="C1051" s="37"/>
      <c r="D1051" s="37"/>
      <c r="E1051" s="37"/>
      <c r="F1051" s="46"/>
      <c r="G1051" s="37"/>
      <c r="H1051" s="37"/>
      <c r="I1051" s="37"/>
      <c r="J1051" s="37"/>
      <c r="K1051" s="37"/>
      <c r="L1051" s="37"/>
      <c r="M1051" s="37"/>
      <c r="N1051" s="37"/>
      <c r="O1051" s="37"/>
      <c r="P1051" s="37"/>
      <c r="Q1051" s="37"/>
      <c r="R1051" s="37"/>
      <c r="S1051" s="37"/>
      <c r="T1051" s="37"/>
      <c r="U1051" s="37"/>
    </row>
    <row r="1052" spans="1:21" ht="15.6">
      <c r="A1052" s="37"/>
      <c r="B1052" s="37"/>
      <c r="C1052" s="37"/>
      <c r="D1052" s="37"/>
      <c r="E1052" s="37"/>
      <c r="F1052" s="46"/>
      <c r="G1052" s="37"/>
      <c r="H1052" s="37"/>
      <c r="I1052" s="37"/>
      <c r="J1052" s="37"/>
      <c r="K1052" s="37"/>
      <c r="L1052" s="37"/>
      <c r="M1052" s="37"/>
      <c r="N1052" s="37"/>
      <c r="O1052" s="37"/>
      <c r="P1052" s="37"/>
      <c r="Q1052" s="37"/>
      <c r="R1052" s="37"/>
      <c r="S1052" s="37"/>
      <c r="T1052" s="37"/>
      <c r="U1052" s="37"/>
    </row>
    <row r="1053" spans="1:21" ht="15.6">
      <c r="A1053" s="37"/>
      <c r="B1053" s="37"/>
      <c r="C1053" s="37"/>
      <c r="D1053" s="37"/>
      <c r="E1053" s="37"/>
      <c r="F1053" s="46"/>
      <c r="G1053" s="37"/>
      <c r="H1053" s="37"/>
      <c r="I1053" s="37"/>
      <c r="J1053" s="37"/>
      <c r="K1053" s="37"/>
      <c r="L1053" s="37"/>
      <c r="M1053" s="37"/>
      <c r="N1053" s="37"/>
      <c r="O1053" s="37"/>
      <c r="P1053" s="37"/>
      <c r="Q1053" s="37"/>
      <c r="R1053" s="37"/>
      <c r="S1053" s="37"/>
      <c r="T1053" s="37"/>
      <c r="U1053" s="37"/>
    </row>
    <row r="1054" spans="1:21" ht="15.6">
      <c r="A1054" s="37"/>
      <c r="B1054" s="37"/>
      <c r="C1054" s="37"/>
      <c r="D1054" s="37"/>
      <c r="E1054" s="37"/>
      <c r="F1054" s="46"/>
      <c r="G1054" s="37"/>
      <c r="H1054" s="37"/>
      <c r="I1054" s="37"/>
      <c r="J1054" s="37"/>
      <c r="K1054" s="37"/>
      <c r="L1054" s="37"/>
      <c r="M1054" s="37"/>
      <c r="N1054" s="37"/>
      <c r="O1054" s="37"/>
      <c r="P1054" s="37"/>
      <c r="Q1054" s="37"/>
      <c r="R1054" s="37"/>
      <c r="S1054" s="37"/>
      <c r="T1054" s="37"/>
      <c r="U1054" s="37"/>
    </row>
    <row r="1055" spans="1:21" ht="15.6">
      <c r="A1055" s="37"/>
      <c r="B1055" s="37"/>
      <c r="C1055" s="37"/>
      <c r="D1055" s="37"/>
      <c r="E1055" s="37"/>
      <c r="F1055" s="46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</row>
    <row r="1056" spans="1:21" ht="15.6">
      <c r="A1056" s="37"/>
      <c r="B1056" s="37"/>
      <c r="C1056" s="37"/>
      <c r="D1056" s="37"/>
      <c r="E1056" s="37"/>
      <c r="F1056" s="46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</row>
    <row r="1057" spans="1:21" ht="15.6">
      <c r="A1057" s="37"/>
      <c r="B1057" s="37"/>
      <c r="C1057" s="37"/>
      <c r="D1057" s="37"/>
      <c r="E1057" s="37"/>
      <c r="F1057" s="46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</row>
    <row r="1058" spans="1:21" ht="15.6">
      <c r="A1058" s="37"/>
      <c r="B1058" s="37"/>
      <c r="C1058" s="37"/>
      <c r="D1058" s="37"/>
      <c r="E1058" s="37"/>
      <c r="F1058" s="46"/>
      <c r="G1058" s="37"/>
      <c r="H1058" s="37"/>
      <c r="I1058" s="37"/>
      <c r="J1058" s="37"/>
      <c r="K1058" s="37"/>
      <c r="L1058" s="37"/>
      <c r="M1058" s="37"/>
      <c r="N1058" s="37"/>
      <c r="O1058" s="37"/>
      <c r="P1058" s="37"/>
      <c r="Q1058" s="37"/>
      <c r="R1058" s="37"/>
      <c r="S1058" s="37"/>
      <c r="T1058" s="37"/>
      <c r="U1058" s="37"/>
    </row>
    <row r="1059" spans="1:21" ht="15.6">
      <c r="A1059" s="37"/>
      <c r="B1059" s="37"/>
      <c r="C1059" s="37"/>
      <c r="D1059" s="37"/>
      <c r="E1059" s="37"/>
      <c r="F1059" s="46"/>
      <c r="G1059" s="37"/>
      <c r="H1059" s="37"/>
      <c r="I1059" s="37"/>
      <c r="J1059" s="37"/>
      <c r="K1059" s="37"/>
      <c r="L1059" s="37"/>
      <c r="M1059" s="37"/>
      <c r="N1059" s="37"/>
      <c r="O1059" s="37"/>
      <c r="P1059" s="37"/>
      <c r="Q1059" s="37"/>
      <c r="R1059" s="37"/>
      <c r="S1059" s="37"/>
      <c r="T1059" s="37"/>
      <c r="U1059" s="37"/>
    </row>
    <row r="1060" spans="1:21" ht="15.6">
      <c r="A1060" s="37"/>
      <c r="B1060" s="37"/>
      <c r="C1060" s="37"/>
      <c r="D1060" s="37"/>
      <c r="E1060" s="37"/>
      <c r="F1060" s="46"/>
      <c r="G1060" s="37"/>
      <c r="H1060" s="37"/>
      <c r="I1060" s="37"/>
      <c r="J1060" s="37"/>
      <c r="K1060" s="37"/>
      <c r="L1060" s="37"/>
      <c r="M1060" s="37"/>
      <c r="N1060" s="37"/>
      <c r="O1060" s="37"/>
      <c r="P1060" s="37"/>
      <c r="Q1060" s="37"/>
      <c r="R1060" s="37"/>
      <c r="S1060" s="37"/>
      <c r="T1060" s="37"/>
      <c r="U1060" s="37"/>
    </row>
    <row r="1061" spans="1:21" ht="15.6">
      <c r="A1061" s="37"/>
      <c r="B1061" s="37"/>
      <c r="C1061" s="37"/>
      <c r="D1061" s="37"/>
      <c r="E1061" s="37"/>
      <c r="F1061" s="46"/>
      <c r="G1061" s="37"/>
      <c r="H1061" s="37"/>
      <c r="I1061" s="37"/>
      <c r="J1061" s="37"/>
      <c r="K1061" s="37"/>
      <c r="L1061" s="37"/>
      <c r="M1061" s="37"/>
      <c r="N1061" s="37"/>
      <c r="O1061" s="37"/>
      <c r="P1061" s="37"/>
      <c r="Q1061" s="37"/>
      <c r="R1061" s="37"/>
      <c r="S1061" s="37"/>
      <c r="T1061" s="37"/>
      <c r="U1061" s="37"/>
    </row>
    <row r="1062" spans="1:21" ht="15.6">
      <c r="A1062" s="37"/>
      <c r="B1062" s="37"/>
      <c r="C1062" s="37"/>
      <c r="D1062" s="37"/>
      <c r="E1062" s="37"/>
      <c r="F1062" s="46"/>
      <c r="G1062" s="37"/>
      <c r="H1062" s="37"/>
      <c r="I1062" s="37"/>
      <c r="J1062" s="37"/>
      <c r="K1062" s="37"/>
      <c r="L1062" s="37"/>
      <c r="M1062" s="37"/>
      <c r="N1062" s="37"/>
      <c r="O1062" s="37"/>
      <c r="P1062" s="37"/>
      <c r="Q1062" s="37"/>
      <c r="R1062" s="37"/>
      <c r="S1062" s="37"/>
      <c r="T1062" s="37"/>
      <c r="U1062" s="37"/>
    </row>
    <row r="1063" spans="1:21" ht="15.6">
      <c r="A1063" s="37"/>
      <c r="B1063" s="37"/>
      <c r="C1063" s="37"/>
      <c r="D1063" s="37"/>
      <c r="E1063" s="37"/>
      <c r="F1063" s="46"/>
      <c r="G1063" s="37"/>
      <c r="H1063" s="37"/>
      <c r="I1063" s="37"/>
      <c r="J1063" s="37"/>
      <c r="K1063" s="37"/>
      <c r="L1063" s="37"/>
      <c r="M1063" s="37"/>
      <c r="N1063" s="37"/>
      <c r="O1063" s="37"/>
      <c r="P1063" s="37"/>
      <c r="Q1063" s="37"/>
      <c r="R1063" s="37"/>
      <c r="S1063" s="37"/>
      <c r="T1063" s="37"/>
      <c r="U1063" s="37"/>
    </row>
    <row r="1064" spans="1:21" ht="15.6">
      <c r="A1064" s="37"/>
      <c r="B1064" s="37"/>
      <c r="C1064" s="37"/>
      <c r="D1064" s="37"/>
      <c r="E1064" s="37"/>
      <c r="F1064" s="46"/>
      <c r="G1064" s="37"/>
      <c r="H1064" s="37"/>
      <c r="I1064" s="37"/>
      <c r="J1064" s="37"/>
      <c r="K1064" s="37"/>
      <c r="L1064" s="37"/>
      <c r="M1064" s="37"/>
      <c r="N1064" s="37"/>
      <c r="O1064" s="37"/>
      <c r="P1064" s="37"/>
      <c r="Q1064" s="37"/>
      <c r="R1064" s="37"/>
      <c r="S1064" s="37"/>
      <c r="T1064" s="37"/>
      <c r="U1064" s="37"/>
    </row>
    <row r="1065" spans="1:21" ht="15.6">
      <c r="A1065" s="37"/>
      <c r="B1065" s="37"/>
      <c r="C1065" s="37"/>
      <c r="D1065" s="37"/>
      <c r="E1065" s="37"/>
      <c r="F1065" s="46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</row>
    <row r="1066" spans="1:21" ht="15.6">
      <c r="A1066" s="37"/>
      <c r="B1066" s="37"/>
      <c r="C1066" s="37"/>
      <c r="D1066" s="37"/>
      <c r="E1066" s="37"/>
      <c r="F1066" s="46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</row>
    <row r="1067" spans="1:21" ht="15.6">
      <c r="A1067" s="37"/>
      <c r="B1067" s="37"/>
      <c r="C1067" s="37"/>
      <c r="D1067" s="37"/>
      <c r="E1067" s="37"/>
      <c r="F1067" s="46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</row>
    <row r="1068" spans="1:21" ht="15.6">
      <c r="A1068" s="37"/>
      <c r="B1068" s="37"/>
      <c r="C1068" s="37"/>
      <c r="D1068" s="37"/>
      <c r="E1068" s="37"/>
      <c r="F1068" s="46"/>
      <c r="G1068" s="37"/>
      <c r="H1068" s="37"/>
      <c r="I1068" s="37"/>
      <c r="J1068" s="37"/>
      <c r="K1068" s="37"/>
      <c r="L1068" s="37"/>
      <c r="M1068" s="37"/>
      <c r="N1068" s="37"/>
      <c r="O1068" s="37"/>
      <c r="P1068" s="37"/>
      <c r="Q1068" s="37"/>
      <c r="R1068" s="37"/>
      <c r="S1068" s="37"/>
      <c r="T1068" s="37"/>
      <c r="U1068" s="37"/>
    </row>
    <row r="1069" spans="1:21" ht="15.6">
      <c r="A1069" s="37"/>
      <c r="B1069" s="37"/>
      <c r="C1069" s="37"/>
      <c r="D1069" s="37"/>
      <c r="E1069" s="37"/>
      <c r="F1069" s="46"/>
      <c r="G1069" s="37"/>
      <c r="H1069" s="37"/>
      <c r="I1069" s="37"/>
      <c r="J1069" s="37"/>
      <c r="K1069" s="37"/>
      <c r="L1069" s="37"/>
      <c r="M1069" s="37"/>
      <c r="N1069" s="37"/>
      <c r="O1069" s="37"/>
      <c r="P1069" s="37"/>
      <c r="Q1069" s="37"/>
      <c r="R1069" s="37"/>
      <c r="S1069" s="37"/>
      <c r="T1069" s="37"/>
      <c r="U1069" s="37"/>
    </row>
    <row r="1070" spans="1:21" ht="15.6">
      <c r="A1070" s="37"/>
      <c r="B1070" s="37"/>
      <c r="C1070" s="37"/>
      <c r="D1070" s="37"/>
      <c r="E1070" s="37"/>
      <c r="F1070" s="46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  <c r="S1070" s="37"/>
      <c r="T1070" s="37"/>
      <c r="U1070" s="37"/>
    </row>
    <row r="1071" spans="1:21" ht="15.6">
      <c r="A1071" s="37"/>
      <c r="B1071" s="37"/>
      <c r="C1071" s="37"/>
      <c r="D1071" s="37"/>
      <c r="E1071" s="37"/>
      <c r="F1071" s="46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  <c r="S1071" s="37"/>
      <c r="T1071" s="37"/>
      <c r="U1071" s="37"/>
    </row>
    <row r="1072" spans="1:21" ht="15.6">
      <c r="A1072" s="37"/>
      <c r="B1072" s="37"/>
      <c r="C1072" s="37"/>
      <c r="D1072" s="37"/>
      <c r="E1072" s="37"/>
      <c r="F1072" s="46"/>
      <c r="G1072" s="37"/>
      <c r="H1072" s="37"/>
      <c r="I1072" s="37"/>
      <c r="J1072" s="37"/>
      <c r="K1072" s="37"/>
      <c r="L1072" s="37"/>
      <c r="M1072" s="37"/>
      <c r="N1072" s="37"/>
      <c r="O1072" s="37"/>
      <c r="P1072" s="37"/>
      <c r="Q1072" s="37"/>
      <c r="R1072" s="37"/>
      <c r="S1072" s="37"/>
      <c r="T1072" s="37"/>
      <c r="U1072" s="37"/>
    </row>
    <row r="1073" spans="1:21" ht="15.6">
      <c r="A1073" s="37"/>
      <c r="B1073" s="37"/>
      <c r="C1073" s="37"/>
      <c r="D1073" s="37"/>
      <c r="E1073" s="37"/>
      <c r="F1073" s="46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  <c r="S1073" s="37"/>
      <c r="T1073" s="37"/>
      <c r="U1073" s="37"/>
    </row>
    <row r="1074" spans="1:21" ht="15.6">
      <c r="A1074" s="37"/>
      <c r="B1074" s="37"/>
      <c r="C1074" s="37"/>
      <c r="D1074" s="37"/>
      <c r="E1074" s="37"/>
      <c r="F1074" s="46"/>
      <c r="G1074" s="37"/>
      <c r="H1074" s="37"/>
      <c r="I1074" s="37"/>
      <c r="J1074" s="37"/>
      <c r="K1074" s="37"/>
      <c r="L1074" s="37"/>
      <c r="M1074" s="37"/>
      <c r="N1074" s="37"/>
      <c r="O1074" s="37"/>
      <c r="P1074" s="37"/>
      <c r="Q1074" s="37"/>
      <c r="R1074" s="37"/>
      <c r="S1074" s="37"/>
      <c r="T1074" s="37"/>
      <c r="U1074" s="37"/>
    </row>
    <row r="1075" spans="1:21" ht="15.6">
      <c r="A1075" s="37"/>
      <c r="B1075" s="37"/>
      <c r="C1075" s="37"/>
      <c r="D1075" s="37"/>
      <c r="E1075" s="37"/>
      <c r="F1075" s="46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</row>
    <row r="1076" spans="1:21" ht="15.6">
      <c r="A1076" s="37"/>
      <c r="B1076" s="37"/>
      <c r="C1076" s="37"/>
      <c r="D1076" s="37"/>
      <c r="E1076" s="37"/>
      <c r="F1076" s="46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</row>
    <row r="1077" spans="1:21" ht="15.6">
      <c r="A1077" s="37"/>
      <c r="B1077" s="37"/>
      <c r="C1077" s="37"/>
      <c r="D1077" s="37"/>
      <c r="E1077" s="37"/>
      <c r="F1077" s="46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</row>
    <row r="1078" spans="1:21" ht="15.6">
      <c r="A1078" s="37"/>
      <c r="B1078" s="37"/>
      <c r="C1078" s="37"/>
      <c r="D1078" s="37"/>
      <c r="E1078" s="37"/>
      <c r="F1078" s="46"/>
      <c r="G1078" s="37"/>
      <c r="H1078" s="37"/>
      <c r="I1078" s="37"/>
      <c r="J1078" s="37"/>
      <c r="K1078" s="37"/>
      <c r="L1078" s="37"/>
      <c r="M1078" s="37"/>
      <c r="N1078" s="37"/>
      <c r="O1078" s="37"/>
      <c r="P1078" s="37"/>
      <c r="Q1078" s="37"/>
      <c r="R1078" s="37"/>
      <c r="S1078" s="37"/>
      <c r="T1078" s="37"/>
      <c r="U1078" s="37"/>
    </row>
    <row r="1079" spans="1:21" ht="15.6">
      <c r="A1079" s="37"/>
      <c r="B1079" s="37"/>
      <c r="C1079" s="37"/>
      <c r="D1079" s="37"/>
      <c r="E1079" s="37"/>
      <c r="F1079" s="46"/>
      <c r="G1079" s="37"/>
      <c r="H1079" s="37"/>
      <c r="I1079" s="37"/>
      <c r="J1079" s="37"/>
      <c r="K1079" s="37"/>
      <c r="L1079" s="37"/>
      <c r="M1079" s="37"/>
      <c r="N1079" s="37"/>
      <c r="O1079" s="37"/>
      <c r="P1079" s="37"/>
      <c r="Q1079" s="37"/>
      <c r="R1079" s="37"/>
      <c r="S1079" s="37"/>
      <c r="T1079" s="37"/>
      <c r="U1079" s="37"/>
    </row>
    <row r="1080" spans="1:21" ht="15.6">
      <c r="A1080" s="37"/>
      <c r="B1080" s="37"/>
      <c r="C1080" s="37"/>
      <c r="D1080" s="37"/>
      <c r="E1080" s="37"/>
      <c r="F1080" s="46"/>
      <c r="G1080" s="37"/>
      <c r="H1080" s="37"/>
      <c r="I1080" s="37"/>
      <c r="J1080" s="37"/>
      <c r="K1080" s="37"/>
      <c r="L1080" s="37"/>
      <c r="M1080" s="37"/>
      <c r="N1080" s="37"/>
      <c r="O1080" s="37"/>
      <c r="P1080" s="37"/>
      <c r="Q1080" s="37"/>
      <c r="R1080" s="37"/>
      <c r="S1080" s="37"/>
      <c r="T1080" s="37"/>
      <c r="U1080" s="37"/>
    </row>
    <row r="1081" spans="1:21" ht="15.6">
      <c r="A1081" s="37"/>
      <c r="B1081" s="37"/>
      <c r="C1081" s="37"/>
      <c r="D1081" s="37"/>
      <c r="E1081" s="37"/>
      <c r="F1081" s="46"/>
      <c r="G1081" s="37"/>
      <c r="H1081" s="37"/>
      <c r="I1081" s="37"/>
      <c r="J1081" s="37"/>
      <c r="K1081" s="37"/>
      <c r="L1081" s="37"/>
      <c r="M1081" s="37"/>
      <c r="N1081" s="37"/>
      <c r="O1081" s="37"/>
      <c r="P1081" s="37"/>
      <c r="Q1081" s="37"/>
      <c r="R1081" s="37"/>
      <c r="S1081" s="37"/>
      <c r="T1081" s="37"/>
      <c r="U1081" s="37"/>
    </row>
    <row r="1082" spans="1:21" ht="15.6">
      <c r="A1082" s="37"/>
      <c r="B1082" s="37"/>
      <c r="C1082" s="37"/>
      <c r="D1082" s="37"/>
      <c r="E1082" s="37"/>
      <c r="F1082" s="46"/>
      <c r="G1082" s="37"/>
      <c r="H1082" s="37"/>
      <c r="I1082" s="37"/>
      <c r="J1082" s="37"/>
      <c r="K1082" s="37"/>
      <c r="L1082" s="37"/>
      <c r="M1082" s="37"/>
      <c r="N1082" s="37"/>
      <c r="O1082" s="37"/>
      <c r="P1082" s="37"/>
      <c r="Q1082" s="37"/>
      <c r="R1082" s="37"/>
      <c r="S1082" s="37"/>
      <c r="T1082" s="37"/>
      <c r="U1082" s="37"/>
    </row>
    <row r="1083" spans="1:21" ht="15.6">
      <c r="A1083" s="37"/>
      <c r="B1083" s="37"/>
      <c r="C1083" s="37"/>
      <c r="D1083" s="37"/>
      <c r="E1083" s="37"/>
      <c r="F1083" s="46"/>
      <c r="G1083" s="37"/>
      <c r="H1083" s="37"/>
      <c r="I1083" s="37"/>
      <c r="J1083" s="37"/>
      <c r="K1083" s="37"/>
      <c r="L1083" s="37"/>
      <c r="M1083" s="37"/>
      <c r="N1083" s="37"/>
      <c r="O1083" s="37"/>
      <c r="P1083" s="37"/>
      <c r="Q1083" s="37"/>
      <c r="R1083" s="37"/>
      <c r="S1083" s="37"/>
      <c r="T1083" s="37"/>
      <c r="U1083" s="37"/>
    </row>
    <row r="1084" spans="1:21" ht="15.6">
      <c r="A1084" s="37"/>
      <c r="B1084" s="37"/>
      <c r="C1084" s="37"/>
      <c r="D1084" s="37"/>
      <c r="E1084" s="37"/>
      <c r="F1084" s="46"/>
      <c r="G1084" s="37"/>
      <c r="H1084" s="37"/>
      <c r="I1084" s="37"/>
      <c r="J1084" s="37"/>
      <c r="K1084" s="37"/>
      <c r="L1084" s="37"/>
      <c r="M1084" s="37"/>
      <c r="N1084" s="37"/>
      <c r="O1084" s="37"/>
      <c r="P1084" s="37"/>
      <c r="Q1084" s="37"/>
      <c r="R1084" s="37"/>
      <c r="S1084" s="37"/>
      <c r="T1084" s="37"/>
      <c r="U1084" s="37"/>
    </row>
    <row r="1085" spans="1:21" ht="15.6">
      <c r="A1085" s="37"/>
      <c r="B1085" s="37"/>
      <c r="C1085" s="37"/>
      <c r="D1085" s="37"/>
      <c r="E1085" s="37"/>
      <c r="F1085" s="46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</row>
    <row r="1086" spans="1:21" ht="15.6">
      <c r="A1086" s="37"/>
      <c r="B1086" s="37"/>
      <c r="C1086" s="37"/>
      <c r="D1086" s="37"/>
      <c r="E1086" s="37"/>
      <c r="F1086" s="46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</row>
    <row r="1087" spans="1:21" ht="15.6">
      <c r="A1087" s="37"/>
      <c r="B1087" s="37"/>
      <c r="C1087" s="37"/>
      <c r="D1087" s="37"/>
      <c r="E1087" s="37"/>
      <c r="F1087" s="46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</row>
    <row r="1088" spans="1:21" ht="15.6">
      <c r="A1088" s="37"/>
      <c r="B1088" s="37"/>
      <c r="C1088" s="37"/>
      <c r="D1088" s="37"/>
      <c r="E1088" s="37"/>
      <c r="F1088" s="46"/>
      <c r="G1088" s="37"/>
      <c r="H1088" s="37"/>
      <c r="I1088" s="37"/>
      <c r="J1088" s="37"/>
      <c r="K1088" s="37"/>
      <c r="L1088" s="37"/>
      <c r="M1088" s="37"/>
      <c r="N1088" s="37"/>
      <c r="O1088" s="37"/>
      <c r="P1088" s="37"/>
      <c r="Q1088" s="37"/>
      <c r="R1088" s="37"/>
      <c r="S1088" s="37"/>
      <c r="T1088" s="37"/>
      <c r="U1088" s="37"/>
    </row>
    <row r="1089" spans="1:21" ht="15.6">
      <c r="A1089" s="37"/>
      <c r="B1089" s="37"/>
      <c r="C1089" s="37"/>
      <c r="D1089" s="37"/>
      <c r="E1089" s="37"/>
      <c r="F1089" s="46"/>
      <c r="G1089" s="37"/>
      <c r="H1089" s="37"/>
      <c r="I1089" s="37"/>
      <c r="J1089" s="37"/>
      <c r="K1089" s="37"/>
      <c r="L1089" s="37"/>
      <c r="M1089" s="37"/>
      <c r="N1089" s="37"/>
      <c r="O1089" s="37"/>
      <c r="P1089" s="37"/>
      <c r="Q1089" s="37"/>
      <c r="R1089" s="37"/>
      <c r="S1089" s="37"/>
      <c r="T1089" s="37"/>
      <c r="U1089" s="37"/>
    </row>
    <row r="1090" spans="1:21" ht="15.6">
      <c r="A1090" s="37"/>
      <c r="B1090" s="37"/>
      <c r="C1090" s="37"/>
      <c r="D1090" s="37"/>
      <c r="E1090" s="37"/>
      <c r="F1090" s="46"/>
      <c r="G1090" s="37"/>
      <c r="H1090" s="37"/>
      <c r="I1090" s="37"/>
      <c r="J1090" s="37"/>
      <c r="K1090" s="37"/>
      <c r="L1090" s="37"/>
      <c r="M1090" s="37"/>
      <c r="N1090" s="37"/>
      <c r="O1090" s="37"/>
      <c r="P1090" s="37"/>
      <c r="Q1090" s="37"/>
      <c r="R1090" s="37"/>
      <c r="S1090" s="37"/>
      <c r="T1090" s="37"/>
      <c r="U1090" s="37"/>
    </row>
    <row r="1091" spans="1:21" ht="15.6">
      <c r="A1091" s="37"/>
      <c r="B1091" s="37"/>
      <c r="C1091" s="37"/>
      <c r="D1091" s="37"/>
      <c r="E1091" s="37"/>
      <c r="F1091" s="46"/>
      <c r="G1091" s="37"/>
      <c r="H1091" s="37"/>
      <c r="I1091" s="37"/>
      <c r="J1091" s="37"/>
      <c r="K1091" s="37"/>
      <c r="L1091" s="37"/>
      <c r="M1091" s="37"/>
      <c r="N1091" s="37"/>
      <c r="O1091" s="37"/>
      <c r="P1091" s="37"/>
      <c r="Q1091" s="37"/>
      <c r="R1091" s="37"/>
      <c r="S1091" s="37"/>
      <c r="T1091" s="37"/>
      <c r="U1091" s="37"/>
    </row>
    <row r="1092" spans="1:21" ht="15.6">
      <c r="A1092" s="37"/>
      <c r="B1092" s="37"/>
      <c r="C1092" s="37"/>
      <c r="D1092" s="37"/>
      <c r="E1092" s="37"/>
      <c r="F1092" s="46"/>
      <c r="G1092" s="37"/>
      <c r="H1092" s="37"/>
      <c r="I1092" s="37"/>
      <c r="J1092" s="37"/>
      <c r="K1092" s="37"/>
      <c r="L1092" s="37"/>
      <c r="M1092" s="37"/>
      <c r="N1092" s="37"/>
      <c r="O1092" s="37"/>
      <c r="P1092" s="37"/>
      <c r="Q1092" s="37"/>
      <c r="R1092" s="37"/>
      <c r="S1092" s="37"/>
      <c r="T1092" s="37"/>
      <c r="U1092" s="37"/>
    </row>
    <row r="1093" spans="1:21" ht="15.6">
      <c r="A1093" s="37"/>
      <c r="B1093" s="37"/>
      <c r="C1093" s="37"/>
      <c r="D1093" s="37"/>
      <c r="E1093" s="37"/>
      <c r="F1093" s="46"/>
      <c r="G1093" s="37"/>
      <c r="H1093" s="37"/>
      <c r="I1093" s="37"/>
      <c r="J1093" s="37"/>
      <c r="K1093" s="37"/>
      <c r="L1093" s="37"/>
      <c r="M1093" s="37"/>
      <c r="N1093" s="37"/>
      <c r="O1093" s="37"/>
      <c r="P1093" s="37"/>
      <c r="Q1093" s="37"/>
      <c r="R1093" s="37"/>
      <c r="S1093" s="37"/>
      <c r="T1093" s="37"/>
      <c r="U1093" s="37"/>
    </row>
    <row r="1094" spans="1:21" ht="15.6">
      <c r="A1094" s="37"/>
      <c r="B1094" s="37"/>
      <c r="C1094" s="37"/>
      <c r="D1094" s="37"/>
      <c r="E1094" s="37"/>
      <c r="F1094" s="46"/>
      <c r="G1094" s="37"/>
      <c r="H1094" s="37"/>
      <c r="I1094" s="37"/>
      <c r="J1094" s="37"/>
      <c r="K1094" s="37"/>
      <c r="L1094" s="37"/>
      <c r="M1094" s="37"/>
      <c r="N1094" s="37"/>
      <c r="O1094" s="37"/>
      <c r="P1094" s="37"/>
      <c r="Q1094" s="37"/>
      <c r="R1094" s="37"/>
      <c r="S1094" s="37"/>
      <c r="T1094" s="37"/>
      <c r="U1094" s="37"/>
    </row>
    <row r="1095" spans="1:21" ht="15.6">
      <c r="A1095" s="37"/>
      <c r="B1095" s="37"/>
      <c r="C1095" s="37"/>
      <c r="D1095" s="37"/>
      <c r="E1095" s="37"/>
      <c r="F1095" s="46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</row>
    <row r="1096" spans="1:21" ht="15.6">
      <c r="A1096" s="37"/>
      <c r="B1096" s="37"/>
      <c r="C1096" s="37"/>
      <c r="D1096" s="37"/>
      <c r="E1096" s="37"/>
      <c r="F1096" s="46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</row>
    <row r="1097" spans="1:21" ht="15.6">
      <c r="A1097" s="37"/>
      <c r="B1097" s="37"/>
      <c r="C1097" s="37"/>
      <c r="D1097" s="37"/>
      <c r="E1097" s="37"/>
      <c r="F1097" s="46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</row>
    <row r="1098" spans="1:21" ht="15.6">
      <c r="A1098" s="37"/>
      <c r="B1098" s="37"/>
      <c r="C1098" s="37"/>
      <c r="D1098" s="37"/>
      <c r="E1098" s="37"/>
      <c r="F1098" s="46"/>
      <c r="G1098" s="37"/>
      <c r="H1098" s="37"/>
      <c r="I1098" s="37"/>
      <c r="J1098" s="37"/>
      <c r="K1098" s="37"/>
      <c r="L1098" s="37"/>
      <c r="M1098" s="37"/>
      <c r="N1098" s="37"/>
      <c r="O1098" s="37"/>
      <c r="P1098" s="37"/>
      <c r="Q1098" s="37"/>
      <c r="R1098" s="37"/>
      <c r="S1098" s="37"/>
      <c r="T1098" s="37"/>
      <c r="U1098" s="37"/>
    </row>
    <row r="1099" spans="1:21" ht="15.6">
      <c r="A1099" s="37"/>
      <c r="B1099" s="37"/>
      <c r="C1099" s="37"/>
      <c r="D1099" s="37"/>
      <c r="E1099" s="37"/>
      <c r="F1099" s="46"/>
      <c r="G1099" s="37"/>
      <c r="H1099" s="37"/>
      <c r="I1099" s="37"/>
      <c r="J1099" s="37"/>
      <c r="K1099" s="37"/>
      <c r="L1099" s="37"/>
      <c r="M1099" s="37"/>
      <c r="N1099" s="37"/>
      <c r="O1099" s="37"/>
      <c r="P1099" s="37"/>
      <c r="Q1099" s="37"/>
      <c r="R1099" s="37"/>
      <c r="S1099" s="37"/>
      <c r="T1099" s="37"/>
      <c r="U1099" s="37"/>
    </row>
    <row r="1100" spans="1:21" ht="15.6">
      <c r="A1100" s="37"/>
      <c r="B1100" s="37"/>
      <c r="C1100" s="37"/>
      <c r="D1100" s="37"/>
      <c r="E1100" s="37"/>
      <c r="F1100" s="46"/>
      <c r="G1100" s="37"/>
      <c r="H1100" s="37"/>
      <c r="I1100" s="37"/>
      <c r="J1100" s="37"/>
      <c r="K1100" s="37"/>
      <c r="L1100" s="37"/>
      <c r="M1100" s="37"/>
      <c r="N1100" s="37"/>
      <c r="O1100" s="37"/>
      <c r="P1100" s="37"/>
      <c r="Q1100" s="37"/>
      <c r="R1100" s="37"/>
      <c r="S1100" s="37"/>
      <c r="T1100" s="37"/>
      <c r="U1100" s="37"/>
    </row>
    <row r="1101" spans="1:21" ht="15.6">
      <c r="A1101" s="37"/>
      <c r="B1101" s="37"/>
      <c r="C1101" s="37"/>
      <c r="D1101" s="37"/>
      <c r="E1101" s="37"/>
      <c r="F1101" s="46"/>
      <c r="G1101" s="37"/>
      <c r="H1101" s="37"/>
      <c r="I1101" s="37"/>
      <c r="J1101" s="37"/>
      <c r="K1101" s="37"/>
      <c r="L1101" s="37"/>
      <c r="M1101" s="37"/>
      <c r="N1101" s="37"/>
      <c r="O1101" s="37"/>
      <c r="P1101" s="37"/>
      <c r="Q1101" s="37"/>
      <c r="R1101" s="37"/>
      <c r="S1101" s="37"/>
      <c r="T1101" s="37"/>
      <c r="U1101" s="37"/>
    </row>
    <row r="1102" spans="1:21" ht="15.6">
      <c r="A1102" s="37"/>
      <c r="B1102" s="37"/>
      <c r="C1102" s="37"/>
      <c r="D1102" s="37"/>
      <c r="E1102" s="37"/>
      <c r="F1102" s="46"/>
      <c r="G1102" s="37"/>
      <c r="H1102" s="37"/>
      <c r="I1102" s="37"/>
      <c r="J1102" s="37"/>
      <c r="K1102" s="37"/>
      <c r="L1102" s="37"/>
      <c r="M1102" s="37"/>
      <c r="N1102" s="37"/>
      <c r="O1102" s="37"/>
      <c r="P1102" s="37"/>
      <c r="Q1102" s="37"/>
      <c r="R1102" s="37"/>
      <c r="S1102" s="37"/>
      <c r="T1102" s="37"/>
      <c r="U1102" s="37"/>
    </row>
    <row r="1103" spans="1:21" ht="15.6">
      <c r="A1103" s="37"/>
      <c r="B1103" s="37"/>
      <c r="C1103" s="37"/>
      <c r="D1103" s="37"/>
      <c r="E1103" s="37"/>
      <c r="F1103" s="46"/>
      <c r="G1103" s="37"/>
      <c r="H1103" s="37"/>
      <c r="I1103" s="37"/>
      <c r="J1103" s="37"/>
      <c r="K1103" s="37"/>
      <c r="L1103" s="37"/>
      <c r="M1103" s="37"/>
      <c r="N1103" s="37"/>
      <c r="O1103" s="37"/>
      <c r="P1103" s="37"/>
      <c r="Q1103" s="37"/>
      <c r="R1103" s="37"/>
      <c r="S1103" s="37"/>
      <c r="T1103" s="37"/>
      <c r="U1103" s="37"/>
    </row>
    <row r="1104" spans="1:21" ht="15.6">
      <c r="A1104" s="37"/>
      <c r="B1104" s="37"/>
      <c r="C1104" s="37"/>
      <c r="D1104" s="37"/>
      <c r="E1104" s="37"/>
      <c r="F1104" s="46"/>
      <c r="G1104" s="37"/>
      <c r="H1104" s="37"/>
      <c r="I1104" s="37"/>
      <c r="J1104" s="37"/>
      <c r="K1104" s="37"/>
      <c r="L1104" s="37"/>
      <c r="M1104" s="37"/>
      <c r="N1104" s="37"/>
      <c r="O1104" s="37"/>
      <c r="P1104" s="37"/>
      <c r="Q1104" s="37"/>
      <c r="R1104" s="37"/>
      <c r="S1104" s="37"/>
      <c r="T1104" s="37"/>
      <c r="U1104" s="37"/>
    </row>
    <row r="1105" spans="1:21" ht="15.6">
      <c r="A1105" s="37"/>
      <c r="B1105" s="37"/>
      <c r="C1105" s="37"/>
      <c r="D1105" s="37"/>
      <c r="E1105" s="37"/>
      <c r="F1105" s="46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</row>
    <row r="1106" spans="1:21" ht="15.6">
      <c r="A1106" s="37"/>
      <c r="B1106" s="37"/>
      <c r="C1106" s="37"/>
      <c r="D1106" s="37"/>
      <c r="E1106" s="37"/>
      <c r="F1106" s="46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</row>
    <row r="1107" spans="1:21" ht="15.6">
      <c r="A1107" s="37"/>
      <c r="B1107" s="37"/>
      <c r="C1107" s="37"/>
      <c r="D1107" s="37"/>
      <c r="E1107" s="37"/>
      <c r="F1107" s="46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</row>
    <row r="1108" spans="1:21" ht="15.6">
      <c r="A1108" s="37"/>
      <c r="B1108" s="37"/>
      <c r="C1108" s="37"/>
      <c r="D1108" s="37"/>
      <c r="E1108" s="37"/>
      <c r="F1108" s="46"/>
      <c r="G1108" s="37"/>
      <c r="H1108" s="37"/>
      <c r="I1108" s="37"/>
      <c r="J1108" s="37"/>
      <c r="K1108" s="37"/>
      <c r="L1108" s="37"/>
      <c r="M1108" s="37"/>
      <c r="N1108" s="37"/>
      <c r="O1108" s="37"/>
      <c r="P1108" s="37"/>
      <c r="Q1108" s="37"/>
      <c r="R1108" s="37"/>
      <c r="S1108" s="37"/>
      <c r="T1108" s="37"/>
      <c r="U1108" s="37"/>
    </row>
    <row r="1109" spans="1:21" ht="15.6">
      <c r="A1109" s="37"/>
      <c r="B1109" s="37"/>
      <c r="C1109" s="37"/>
      <c r="D1109" s="37"/>
      <c r="E1109" s="37"/>
      <c r="F1109" s="46"/>
      <c r="G1109" s="37"/>
      <c r="H1109" s="37"/>
      <c r="I1109" s="37"/>
      <c r="J1109" s="37"/>
      <c r="K1109" s="37"/>
      <c r="L1109" s="37"/>
      <c r="M1109" s="37"/>
      <c r="N1109" s="37"/>
      <c r="O1109" s="37"/>
      <c r="P1109" s="37"/>
      <c r="Q1109" s="37"/>
      <c r="R1109" s="37"/>
      <c r="S1109" s="37"/>
      <c r="T1109" s="37"/>
      <c r="U1109" s="37"/>
    </row>
    <row r="1110" spans="1:21" ht="15.6">
      <c r="A1110" s="37"/>
      <c r="B1110" s="37"/>
      <c r="C1110" s="37"/>
      <c r="D1110" s="37"/>
      <c r="E1110" s="37"/>
      <c r="F1110" s="46"/>
      <c r="G1110" s="37"/>
      <c r="H1110" s="37"/>
      <c r="I1110" s="37"/>
      <c r="J1110" s="37"/>
      <c r="K1110" s="37"/>
      <c r="L1110" s="37"/>
      <c r="M1110" s="37"/>
      <c r="N1110" s="37"/>
      <c r="O1110" s="37"/>
      <c r="P1110" s="37"/>
      <c r="Q1110" s="37"/>
      <c r="R1110" s="37"/>
      <c r="S1110" s="37"/>
      <c r="T1110" s="37"/>
      <c r="U1110" s="37"/>
    </row>
    <row r="1111" spans="1:21" ht="15.6">
      <c r="A1111" s="37"/>
      <c r="B1111" s="37"/>
      <c r="C1111" s="37"/>
      <c r="D1111" s="37"/>
      <c r="E1111" s="37"/>
      <c r="F1111" s="46"/>
      <c r="G1111" s="37"/>
      <c r="H1111" s="37"/>
      <c r="I1111" s="37"/>
      <c r="J1111" s="37"/>
      <c r="K1111" s="37"/>
      <c r="L1111" s="37"/>
      <c r="M1111" s="37"/>
      <c r="N1111" s="37"/>
      <c r="O1111" s="37"/>
      <c r="P1111" s="37"/>
      <c r="Q1111" s="37"/>
      <c r="R1111" s="37"/>
      <c r="S1111" s="37"/>
      <c r="T1111" s="37"/>
      <c r="U1111" s="37"/>
    </row>
    <row r="1112" spans="1:21" ht="15.6">
      <c r="A1112" s="37"/>
      <c r="B1112" s="37"/>
      <c r="C1112" s="37"/>
      <c r="D1112" s="37"/>
      <c r="E1112" s="37"/>
      <c r="F1112" s="46"/>
      <c r="G1112" s="37"/>
      <c r="H1112" s="37"/>
      <c r="I1112" s="37"/>
      <c r="J1112" s="37"/>
      <c r="K1112" s="37"/>
      <c r="L1112" s="37"/>
      <c r="M1112" s="37"/>
      <c r="N1112" s="37"/>
      <c r="O1112" s="37"/>
      <c r="P1112" s="37"/>
      <c r="Q1112" s="37"/>
      <c r="R1112" s="37"/>
      <c r="S1112" s="37"/>
      <c r="T1112" s="37"/>
      <c r="U1112" s="37"/>
    </row>
    <row r="1113" spans="1:21" ht="15.6">
      <c r="A1113" s="37"/>
      <c r="B1113" s="37"/>
      <c r="C1113" s="37"/>
      <c r="D1113" s="37"/>
      <c r="E1113" s="37"/>
      <c r="F1113" s="46"/>
      <c r="G1113" s="37"/>
      <c r="H1113" s="37"/>
      <c r="I1113" s="37"/>
      <c r="J1113" s="37"/>
      <c r="K1113" s="37"/>
      <c r="L1113" s="37"/>
      <c r="M1113" s="37"/>
      <c r="N1113" s="37"/>
      <c r="O1113" s="37"/>
      <c r="P1113" s="37"/>
      <c r="Q1113" s="37"/>
      <c r="R1113" s="37"/>
      <c r="S1113" s="37"/>
      <c r="T1113" s="37"/>
      <c r="U1113" s="37"/>
    </row>
    <row r="1114" spans="1:21" ht="15.6">
      <c r="A1114" s="37"/>
      <c r="B1114" s="37"/>
      <c r="C1114" s="37"/>
      <c r="D1114" s="37"/>
      <c r="E1114" s="37"/>
      <c r="F1114" s="46"/>
      <c r="G1114" s="37"/>
      <c r="H1114" s="37"/>
      <c r="I1114" s="37"/>
      <c r="J1114" s="37"/>
      <c r="K1114" s="37"/>
      <c r="L1114" s="37"/>
      <c r="M1114" s="37"/>
      <c r="N1114" s="37"/>
      <c r="O1114" s="37"/>
      <c r="P1114" s="37"/>
      <c r="Q1114" s="37"/>
      <c r="R1114" s="37"/>
      <c r="S1114" s="37"/>
      <c r="T1114" s="37"/>
      <c r="U1114" s="37"/>
    </row>
    <row r="1115" spans="1:21" ht="15.6">
      <c r="A1115" s="37"/>
      <c r="B1115" s="37"/>
      <c r="C1115" s="37"/>
      <c r="D1115" s="37"/>
      <c r="E1115" s="37"/>
      <c r="F1115" s="46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</row>
    <row r="1116" spans="1:21" ht="15.6">
      <c r="A1116" s="37"/>
      <c r="B1116" s="37"/>
      <c r="C1116" s="37"/>
      <c r="D1116" s="37"/>
      <c r="E1116" s="37"/>
      <c r="F1116" s="46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</row>
    <row r="1117" spans="1:21" ht="15.6">
      <c r="A1117" s="37"/>
      <c r="B1117" s="37"/>
      <c r="C1117" s="37"/>
      <c r="D1117" s="37"/>
      <c r="E1117" s="37"/>
      <c r="F1117" s="46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</row>
    <row r="1118" spans="1:21" ht="15.6">
      <c r="A1118" s="37"/>
      <c r="B1118" s="37"/>
      <c r="C1118" s="37"/>
      <c r="D1118" s="37"/>
      <c r="E1118" s="37"/>
      <c r="F1118" s="46"/>
      <c r="G1118" s="37"/>
      <c r="H1118" s="37"/>
      <c r="I1118" s="37"/>
      <c r="J1118" s="37"/>
      <c r="K1118" s="37"/>
      <c r="L1118" s="37"/>
      <c r="M1118" s="37"/>
      <c r="N1118" s="37"/>
      <c r="O1118" s="37"/>
      <c r="P1118" s="37"/>
      <c r="Q1118" s="37"/>
      <c r="R1118" s="37"/>
      <c r="S1118" s="37"/>
      <c r="T1118" s="37"/>
      <c r="U1118" s="37"/>
    </row>
    <row r="1119" spans="1:21" ht="15.6">
      <c r="A1119" s="37"/>
      <c r="B1119" s="37"/>
      <c r="C1119" s="37"/>
      <c r="D1119" s="37"/>
      <c r="E1119" s="37"/>
      <c r="F1119" s="46"/>
      <c r="G1119" s="37"/>
      <c r="H1119" s="37"/>
      <c r="I1119" s="37"/>
      <c r="J1119" s="37"/>
      <c r="K1119" s="37"/>
      <c r="L1119" s="37"/>
      <c r="M1119" s="37"/>
      <c r="N1119" s="37"/>
      <c r="O1119" s="37"/>
      <c r="P1119" s="37"/>
      <c r="Q1119" s="37"/>
      <c r="R1119" s="37"/>
      <c r="S1119" s="37"/>
      <c r="T1119" s="37"/>
      <c r="U1119" s="37"/>
    </row>
    <row r="1120" spans="1:21" ht="15.6">
      <c r="A1120" s="37"/>
      <c r="B1120" s="37"/>
      <c r="C1120" s="37"/>
      <c r="D1120" s="37"/>
      <c r="E1120" s="37"/>
      <c r="F1120" s="46"/>
      <c r="G1120" s="37"/>
      <c r="H1120" s="37"/>
      <c r="I1120" s="37"/>
      <c r="J1120" s="37"/>
      <c r="K1120" s="37"/>
      <c r="L1120" s="37"/>
      <c r="M1120" s="37"/>
      <c r="N1120" s="37"/>
      <c r="O1120" s="37"/>
      <c r="P1120" s="37"/>
      <c r="Q1120" s="37"/>
      <c r="R1120" s="37"/>
      <c r="S1120" s="37"/>
      <c r="T1120" s="37"/>
      <c r="U1120" s="37"/>
    </row>
    <row r="1121" spans="1:21" ht="15.6">
      <c r="A1121" s="37"/>
      <c r="B1121" s="37"/>
      <c r="C1121" s="37"/>
      <c r="D1121" s="37"/>
      <c r="E1121" s="37"/>
      <c r="F1121" s="46"/>
      <c r="G1121" s="37"/>
      <c r="H1121" s="37"/>
      <c r="I1121" s="37"/>
      <c r="J1121" s="37"/>
      <c r="K1121" s="37"/>
      <c r="L1121" s="37"/>
      <c r="M1121" s="37"/>
      <c r="N1121" s="37"/>
      <c r="O1121" s="37"/>
      <c r="P1121" s="37"/>
      <c r="Q1121" s="37"/>
      <c r="R1121" s="37"/>
      <c r="S1121" s="37"/>
      <c r="T1121" s="37"/>
      <c r="U1121" s="37"/>
    </row>
    <row r="1122" spans="1:21" ht="15.6">
      <c r="A1122" s="37"/>
      <c r="B1122" s="37"/>
      <c r="C1122" s="37"/>
      <c r="D1122" s="37"/>
      <c r="E1122" s="37"/>
      <c r="F1122" s="46"/>
      <c r="G1122" s="37"/>
      <c r="H1122" s="37"/>
      <c r="I1122" s="37"/>
      <c r="J1122" s="37"/>
      <c r="K1122" s="37"/>
      <c r="L1122" s="37"/>
      <c r="M1122" s="37"/>
      <c r="N1122" s="37"/>
      <c r="O1122" s="37"/>
      <c r="P1122" s="37"/>
      <c r="Q1122" s="37"/>
      <c r="R1122" s="37"/>
      <c r="S1122" s="37"/>
      <c r="T1122" s="37"/>
      <c r="U1122" s="37"/>
    </row>
    <row r="1123" spans="1:21" ht="15.6">
      <c r="A1123" s="37"/>
      <c r="B1123" s="37"/>
      <c r="C1123" s="37"/>
      <c r="D1123" s="37"/>
      <c r="E1123" s="37"/>
      <c r="F1123" s="46"/>
      <c r="G1123" s="37"/>
      <c r="H1123" s="37"/>
      <c r="I1123" s="37"/>
      <c r="J1123" s="37"/>
      <c r="K1123" s="37"/>
      <c r="L1123" s="37"/>
      <c r="M1123" s="37"/>
      <c r="N1123" s="37"/>
      <c r="O1123" s="37"/>
      <c r="P1123" s="37"/>
      <c r="Q1123" s="37"/>
      <c r="R1123" s="37"/>
      <c r="S1123" s="37"/>
      <c r="T1123" s="37"/>
      <c r="U1123" s="37"/>
    </row>
    <row r="1124" spans="1:21" ht="15.6">
      <c r="A1124" s="37"/>
      <c r="B1124" s="37"/>
      <c r="C1124" s="37"/>
      <c r="D1124" s="37"/>
      <c r="E1124" s="37"/>
      <c r="F1124" s="46"/>
      <c r="G1124" s="37"/>
      <c r="H1124" s="37"/>
      <c r="I1124" s="37"/>
      <c r="J1124" s="37"/>
      <c r="K1124" s="37"/>
      <c r="L1124" s="37"/>
      <c r="M1124" s="37"/>
      <c r="N1124" s="37"/>
      <c r="O1124" s="37"/>
      <c r="P1124" s="37"/>
      <c r="Q1124" s="37"/>
      <c r="R1124" s="37"/>
      <c r="S1124" s="37"/>
      <c r="T1124" s="37"/>
      <c r="U1124" s="37"/>
    </row>
    <row r="1125" spans="1:21" ht="15.6">
      <c r="A1125" s="37"/>
      <c r="B1125" s="37"/>
      <c r="C1125" s="37"/>
      <c r="D1125" s="37"/>
      <c r="E1125" s="37"/>
      <c r="F1125" s="46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</row>
    <row r="1126" spans="1:21" ht="15.6">
      <c r="A1126" s="37"/>
      <c r="B1126" s="37"/>
      <c r="C1126" s="37"/>
      <c r="D1126" s="37"/>
      <c r="E1126" s="37"/>
      <c r="F1126" s="46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</row>
    <row r="1127" spans="1:21" ht="15.6">
      <c r="A1127" s="37"/>
      <c r="B1127" s="37"/>
      <c r="C1127" s="37"/>
      <c r="D1127" s="37"/>
      <c r="E1127" s="37"/>
      <c r="F1127" s="46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</row>
    <row r="1128" spans="1:21" ht="15.6">
      <c r="A1128" s="37"/>
      <c r="B1128" s="37"/>
      <c r="C1128" s="37"/>
      <c r="D1128" s="37"/>
      <c r="E1128" s="37"/>
      <c r="F1128" s="46"/>
      <c r="G1128" s="37"/>
      <c r="H1128" s="37"/>
      <c r="I1128" s="37"/>
      <c r="J1128" s="37"/>
      <c r="K1128" s="37"/>
      <c r="L1128" s="37"/>
      <c r="M1128" s="37"/>
      <c r="N1128" s="37"/>
      <c r="O1128" s="37"/>
      <c r="P1128" s="37"/>
      <c r="Q1128" s="37"/>
      <c r="R1128" s="37"/>
      <c r="S1128" s="37"/>
      <c r="T1128" s="37"/>
      <c r="U1128" s="37"/>
    </row>
    <row r="1129" spans="1:21" ht="15.6">
      <c r="A1129" s="37"/>
      <c r="B1129" s="37"/>
      <c r="C1129" s="37"/>
      <c r="D1129" s="37"/>
      <c r="E1129" s="37"/>
      <c r="F1129" s="46"/>
      <c r="G1129" s="37"/>
      <c r="H1129" s="37"/>
      <c r="I1129" s="37"/>
      <c r="J1129" s="37"/>
      <c r="K1129" s="37"/>
      <c r="L1129" s="37"/>
      <c r="M1129" s="37"/>
      <c r="N1129" s="37"/>
      <c r="O1129" s="37"/>
      <c r="P1129" s="37"/>
      <c r="Q1129" s="37"/>
      <c r="R1129" s="37"/>
      <c r="S1129" s="37"/>
      <c r="T1129" s="37"/>
      <c r="U1129" s="37"/>
    </row>
    <row r="1130" spans="1:21" ht="15.6">
      <c r="A1130" s="37"/>
      <c r="B1130" s="37"/>
      <c r="C1130" s="37"/>
      <c r="D1130" s="37"/>
      <c r="E1130" s="37"/>
      <c r="F1130" s="46"/>
      <c r="G1130" s="37"/>
      <c r="H1130" s="37"/>
      <c r="I1130" s="37"/>
      <c r="J1130" s="37"/>
      <c r="K1130" s="37"/>
      <c r="L1130" s="37"/>
      <c r="M1130" s="37"/>
      <c r="N1130" s="37"/>
      <c r="O1130" s="37"/>
      <c r="P1130" s="37"/>
      <c r="Q1130" s="37"/>
      <c r="R1130" s="37"/>
      <c r="S1130" s="37"/>
      <c r="T1130" s="37"/>
      <c r="U1130" s="37"/>
    </row>
    <row r="1131" spans="1:21" ht="15.6">
      <c r="A1131" s="37"/>
      <c r="B1131" s="37"/>
      <c r="C1131" s="37"/>
      <c r="D1131" s="37"/>
      <c r="E1131" s="37"/>
      <c r="F1131" s="46"/>
      <c r="G1131" s="37"/>
      <c r="H1131" s="37"/>
      <c r="I1131" s="37"/>
      <c r="J1131" s="37"/>
      <c r="K1131" s="37"/>
      <c r="L1131" s="37"/>
      <c r="M1131" s="37"/>
      <c r="N1131" s="37"/>
      <c r="O1131" s="37"/>
      <c r="P1131" s="37"/>
      <c r="Q1131" s="37"/>
      <c r="R1131" s="37"/>
      <c r="S1131" s="37"/>
      <c r="T1131" s="37"/>
      <c r="U1131" s="37"/>
    </row>
    <row r="1132" spans="1:21" ht="15.6">
      <c r="A1132" s="37"/>
      <c r="B1132" s="37"/>
      <c r="C1132" s="37"/>
      <c r="D1132" s="37"/>
      <c r="E1132" s="37"/>
      <c r="F1132" s="46"/>
      <c r="G1132" s="37"/>
      <c r="H1132" s="37"/>
      <c r="I1132" s="37"/>
      <c r="J1132" s="37"/>
      <c r="K1132" s="37"/>
      <c r="L1132" s="37"/>
      <c r="M1132" s="37"/>
      <c r="N1132" s="37"/>
      <c r="O1132" s="37"/>
      <c r="P1132" s="37"/>
      <c r="Q1132" s="37"/>
      <c r="R1132" s="37"/>
      <c r="S1132" s="37"/>
      <c r="T1132" s="37"/>
      <c r="U1132" s="37"/>
    </row>
    <row r="1133" spans="1:21" ht="15.6">
      <c r="A1133" s="37"/>
      <c r="B1133" s="37"/>
      <c r="C1133" s="37"/>
      <c r="D1133" s="37"/>
      <c r="E1133" s="37"/>
      <c r="F1133" s="46"/>
      <c r="G1133" s="37"/>
      <c r="H1133" s="37"/>
      <c r="I1133" s="37"/>
      <c r="J1133" s="37"/>
      <c r="K1133" s="37"/>
      <c r="L1133" s="37"/>
      <c r="M1133" s="37"/>
      <c r="N1133" s="37"/>
      <c r="O1133" s="37"/>
      <c r="P1133" s="37"/>
      <c r="Q1133" s="37"/>
      <c r="R1133" s="37"/>
      <c r="S1133" s="37"/>
      <c r="T1133" s="37"/>
      <c r="U1133" s="37"/>
    </row>
    <row r="1134" spans="1:21" ht="15.6">
      <c r="A1134" s="37"/>
      <c r="B1134" s="37"/>
      <c r="C1134" s="37"/>
      <c r="D1134" s="37"/>
      <c r="E1134" s="37"/>
      <c r="F1134" s="46"/>
      <c r="G1134" s="37"/>
      <c r="H1134" s="37"/>
      <c r="I1134" s="37"/>
      <c r="J1134" s="37"/>
      <c r="K1134" s="37"/>
      <c r="L1134" s="37"/>
      <c r="M1134" s="37"/>
      <c r="N1134" s="37"/>
      <c r="O1134" s="37"/>
      <c r="P1134" s="37"/>
      <c r="Q1134" s="37"/>
      <c r="R1134" s="37"/>
      <c r="S1134" s="37"/>
      <c r="T1134" s="37"/>
      <c r="U1134" s="37"/>
    </row>
    <row r="1135" spans="1:21" ht="15.6">
      <c r="A1135" s="37"/>
      <c r="B1135" s="37"/>
      <c r="C1135" s="37"/>
      <c r="D1135" s="37"/>
      <c r="E1135" s="37"/>
      <c r="F1135" s="46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</row>
    <row r="1136" spans="1:21" ht="15.6">
      <c r="A1136" s="37"/>
      <c r="B1136" s="37"/>
      <c r="C1136" s="37"/>
      <c r="D1136" s="37"/>
      <c r="E1136" s="37"/>
      <c r="F1136" s="46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</row>
    <row r="1137" spans="1:21" ht="15.6">
      <c r="A1137" s="37"/>
      <c r="B1137" s="37"/>
      <c r="C1137" s="37"/>
      <c r="D1137" s="37"/>
      <c r="E1137" s="37"/>
      <c r="F1137" s="46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</row>
    <row r="1138" spans="1:21" ht="15.6">
      <c r="A1138" s="37"/>
      <c r="B1138" s="37"/>
      <c r="C1138" s="37"/>
      <c r="D1138" s="37"/>
      <c r="E1138" s="37"/>
      <c r="F1138" s="46"/>
      <c r="G1138" s="37"/>
      <c r="H1138" s="37"/>
      <c r="I1138" s="37"/>
      <c r="J1138" s="37"/>
      <c r="K1138" s="37"/>
      <c r="L1138" s="37"/>
      <c r="M1138" s="37"/>
      <c r="N1138" s="37"/>
      <c r="O1138" s="37"/>
      <c r="P1138" s="37"/>
      <c r="Q1138" s="37"/>
      <c r="R1138" s="37"/>
      <c r="S1138" s="37"/>
      <c r="T1138" s="37"/>
      <c r="U1138" s="37"/>
    </row>
    <row r="1139" spans="1:21" ht="15.6">
      <c r="A1139" s="37"/>
      <c r="B1139" s="37"/>
      <c r="C1139" s="37"/>
      <c r="D1139" s="37"/>
      <c r="E1139" s="37"/>
      <c r="F1139" s="46"/>
      <c r="G1139" s="37"/>
      <c r="H1139" s="37"/>
      <c r="I1139" s="37"/>
      <c r="J1139" s="37"/>
      <c r="K1139" s="37"/>
      <c r="L1139" s="37"/>
      <c r="M1139" s="37"/>
      <c r="N1139" s="37"/>
      <c r="O1139" s="37"/>
      <c r="P1139" s="37"/>
      <c r="Q1139" s="37"/>
      <c r="R1139" s="37"/>
      <c r="S1139" s="37"/>
      <c r="T1139" s="37"/>
      <c r="U1139" s="37"/>
    </row>
    <row r="1140" spans="1:21" ht="15.6">
      <c r="A1140" s="37"/>
      <c r="B1140" s="37"/>
      <c r="C1140" s="37"/>
      <c r="D1140" s="37"/>
      <c r="E1140" s="37"/>
      <c r="F1140" s="46"/>
      <c r="G1140" s="37"/>
      <c r="H1140" s="37"/>
      <c r="I1140" s="37"/>
      <c r="J1140" s="37"/>
      <c r="K1140" s="37"/>
      <c r="L1140" s="37"/>
      <c r="M1140" s="37"/>
      <c r="N1140" s="37"/>
      <c r="O1140" s="37"/>
      <c r="P1140" s="37"/>
      <c r="Q1140" s="37"/>
      <c r="R1140" s="37"/>
      <c r="S1140" s="37"/>
      <c r="T1140" s="37"/>
      <c r="U1140" s="37"/>
    </row>
    <row r="1141" spans="1:21" ht="15.6">
      <c r="A1141" s="37"/>
      <c r="B1141" s="37"/>
      <c r="C1141" s="37"/>
      <c r="D1141" s="37"/>
      <c r="E1141" s="37"/>
      <c r="F1141" s="46"/>
      <c r="G1141" s="37"/>
      <c r="H1141" s="37"/>
      <c r="I1141" s="37"/>
      <c r="J1141" s="37"/>
      <c r="K1141" s="37"/>
      <c r="L1141" s="37"/>
      <c r="M1141" s="37"/>
      <c r="N1141" s="37"/>
      <c r="O1141" s="37"/>
      <c r="P1141" s="37"/>
      <c r="Q1141" s="37"/>
      <c r="R1141" s="37"/>
      <c r="S1141" s="37"/>
      <c r="T1141" s="37"/>
      <c r="U1141" s="37"/>
    </row>
    <row r="1142" spans="1:21" ht="15.6">
      <c r="A1142" s="37"/>
      <c r="B1142" s="37"/>
      <c r="C1142" s="37"/>
      <c r="D1142" s="37"/>
      <c r="E1142" s="37"/>
      <c r="F1142" s="46"/>
      <c r="G1142" s="37"/>
      <c r="H1142" s="37"/>
      <c r="I1142" s="37"/>
      <c r="J1142" s="37"/>
      <c r="K1142" s="37"/>
      <c r="L1142" s="37"/>
      <c r="M1142" s="37"/>
      <c r="N1142" s="37"/>
      <c r="O1142" s="37"/>
      <c r="P1142" s="37"/>
      <c r="Q1142" s="37"/>
      <c r="R1142" s="37"/>
      <c r="S1142" s="37"/>
      <c r="T1142" s="37"/>
      <c r="U1142" s="37"/>
    </row>
    <row r="1143" spans="1:21" ht="15.6">
      <c r="A1143" s="37"/>
      <c r="B1143" s="37"/>
      <c r="C1143" s="37"/>
      <c r="D1143" s="37"/>
      <c r="E1143" s="37"/>
      <c r="F1143" s="46"/>
      <c r="G1143" s="37"/>
      <c r="H1143" s="37"/>
      <c r="I1143" s="37"/>
      <c r="J1143" s="37"/>
      <c r="K1143" s="37"/>
      <c r="L1143" s="37"/>
      <c r="M1143" s="37"/>
      <c r="N1143" s="37"/>
      <c r="O1143" s="37"/>
      <c r="P1143" s="37"/>
      <c r="Q1143" s="37"/>
      <c r="R1143" s="37"/>
      <c r="S1143" s="37"/>
      <c r="T1143" s="37"/>
      <c r="U1143" s="37"/>
    </row>
    <row r="1144" spans="1:21" ht="15.6">
      <c r="A1144" s="37"/>
      <c r="B1144" s="37"/>
      <c r="C1144" s="37"/>
      <c r="D1144" s="37"/>
      <c r="E1144" s="37"/>
      <c r="F1144" s="46"/>
      <c r="G1144" s="37"/>
      <c r="H1144" s="37"/>
      <c r="I1144" s="37"/>
      <c r="J1144" s="37"/>
      <c r="K1144" s="37"/>
      <c r="L1144" s="37"/>
      <c r="M1144" s="37"/>
      <c r="N1144" s="37"/>
      <c r="O1144" s="37"/>
      <c r="P1144" s="37"/>
      <c r="Q1144" s="37"/>
      <c r="R1144" s="37"/>
      <c r="S1144" s="37"/>
      <c r="T1144" s="37"/>
      <c r="U1144" s="37"/>
    </row>
    <row r="1145" spans="1:21" ht="15.6">
      <c r="A1145" s="37"/>
      <c r="B1145" s="37"/>
      <c r="C1145" s="37"/>
      <c r="D1145" s="37"/>
      <c r="E1145" s="37"/>
      <c r="F1145" s="46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</row>
    <row r="1146" spans="1:21" ht="15.6">
      <c r="A1146" s="37"/>
      <c r="B1146" s="37"/>
      <c r="C1146" s="37"/>
      <c r="D1146" s="37"/>
      <c r="E1146" s="37"/>
      <c r="F1146" s="46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</row>
    <row r="1147" spans="1:21" ht="15.6">
      <c r="A1147" s="37"/>
      <c r="B1147" s="37"/>
      <c r="C1147" s="37"/>
      <c r="D1147" s="37"/>
      <c r="E1147" s="37"/>
      <c r="F1147" s="46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</row>
    <row r="1148" spans="1:21" ht="15.6">
      <c r="A1148" s="37"/>
      <c r="B1148" s="37"/>
      <c r="C1148" s="37"/>
      <c r="D1148" s="37"/>
      <c r="E1148" s="37"/>
      <c r="F1148" s="46"/>
      <c r="G1148" s="37"/>
      <c r="H1148" s="37"/>
      <c r="I1148" s="37"/>
      <c r="J1148" s="37"/>
      <c r="K1148" s="37"/>
      <c r="L1148" s="37"/>
      <c r="M1148" s="37"/>
      <c r="N1148" s="37"/>
      <c r="O1148" s="37"/>
      <c r="P1148" s="37"/>
      <c r="Q1148" s="37"/>
      <c r="R1148" s="37"/>
      <c r="S1148" s="37"/>
      <c r="T1148" s="37"/>
      <c r="U1148" s="37"/>
    </row>
    <row r="1149" spans="1:21" ht="15.6">
      <c r="A1149" s="37"/>
      <c r="B1149" s="37"/>
      <c r="C1149" s="37"/>
      <c r="D1149" s="37"/>
      <c r="E1149" s="37"/>
      <c r="F1149" s="46"/>
      <c r="G1149" s="37"/>
      <c r="H1149" s="37"/>
      <c r="I1149" s="37"/>
      <c r="J1149" s="37"/>
      <c r="K1149" s="37"/>
      <c r="L1149" s="37"/>
      <c r="M1149" s="37"/>
      <c r="N1149" s="37"/>
      <c r="O1149" s="37"/>
      <c r="P1149" s="37"/>
      <c r="Q1149" s="37"/>
      <c r="R1149" s="37"/>
      <c r="S1149" s="37"/>
      <c r="T1149" s="37"/>
      <c r="U1149" s="37"/>
    </row>
    <row r="1150" spans="1:21" ht="15.6">
      <c r="A1150" s="37"/>
      <c r="B1150" s="37"/>
      <c r="C1150" s="37"/>
      <c r="D1150" s="37"/>
      <c r="E1150" s="37"/>
      <c r="F1150" s="46"/>
      <c r="G1150" s="37"/>
      <c r="H1150" s="37"/>
      <c r="I1150" s="37"/>
      <c r="J1150" s="37"/>
      <c r="K1150" s="37"/>
      <c r="L1150" s="37"/>
      <c r="M1150" s="37"/>
      <c r="N1150" s="37"/>
      <c r="O1150" s="37"/>
      <c r="P1150" s="37"/>
      <c r="Q1150" s="37"/>
      <c r="R1150" s="37"/>
      <c r="S1150" s="37"/>
      <c r="T1150" s="37"/>
      <c r="U1150" s="37"/>
    </row>
    <row r="1151" spans="1:21" ht="15.6">
      <c r="A1151" s="37"/>
      <c r="B1151" s="37"/>
      <c r="C1151" s="37"/>
      <c r="D1151" s="37"/>
      <c r="E1151" s="37"/>
      <c r="F1151" s="46"/>
      <c r="G1151" s="37"/>
      <c r="H1151" s="37"/>
      <c r="I1151" s="37"/>
      <c r="J1151" s="37"/>
      <c r="K1151" s="37"/>
      <c r="L1151" s="37"/>
      <c r="M1151" s="37"/>
      <c r="N1151" s="37"/>
      <c r="O1151" s="37"/>
      <c r="P1151" s="37"/>
      <c r="Q1151" s="37"/>
      <c r="R1151" s="37"/>
      <c r="S1151" s="37"/>
      <c r="T1151" s="37"/>
      <c r="U1151" s="37"/>
    </row>
    <row r="1152" spans="1:21" ht="15.6">
      <c r="A1152" s="37"/>
      <c r="B1152" s="37"/>
      <c r="C1152" s="37"/>
      <c r="D1152" s="37"/>
      <c r="E1152" s="37"/>
      <c r="F1152" s="46"/>
      <c r="G1152" s="37"/>
      <c r="H1152" s="37"/>
      <c r="I1152" s="37"/>
      <c r="J1152" s="37"/>
      <c r="K1152" s="37"/>
      <c r="L1152" s="37"/>
      <c r="M1152" s="37"/>
      <c r="N1152" s="37"/>
      <c r="O1152" s="37"/>
      <c r="P1152" s="37"/>
      <c r="Q1152" s="37"/>
      <c r="R1152" s="37"/>
      <c r="S1152" s="37"/>
      <c r="T1152" s="37"/>
      <c r="U1152" s="37"/>
    </row>
    <row r="1153" spans="1:21" ht="15.6">
      <c r="A1153" s="37"/>
      <c r="B1153" s="37"/>
      <c r="C1153" s="37"/>
      <c r="D1153" s="37"/>
      <c r="E1153" s="37"/>
      <c r="F1153" s="46"/>
      <c r="G1153" s="37"/>
      <c r="H1153" s="37"/>
      <c r="I1153" s="37"/>
      <c r="J1153" s="37"/>
      <c r="K1153" s="37"/>
      <c r="L1153" s="37"/>
      <c r="M1153" s="37"/>
      <c r="N1153" s="37"/>
      <c r="O1153" s="37"/>
      <c r="P1153" s="37"/>
      <c r="Q1153" s="37"/>
      <c r="R1153" s="37"/>
      <c r="S1153" s="37"/>
      <c r="T1153" s="37"/>
      <c r="U1153" s="37"/>
    </row>
    <row r="1154" spans="1:21" ht="15.6">
      <c r="A1154" s="37"/>
      <c r="B1154" s="37"/>
      <c r="C1154" s="37"/>
      <c r="D1154" s="37"/>
      <c r="E1154" s="37"/>
      <c r="F1154" s="46"/>
      <c r="G1154" s="37"/>
      <c r="H1154" s="37"/>
      <c r="I1154" s="37"/>
      <c r="J1154" s="37"/>
      <c r="K1154" s="37"/>
      <c r="L1154" s="37"/>
      <c r="M1154" s="37"/>
      <c r="N1154" s="37"/>
      <c r="O1154" s="37"/>
      <c r="P1154" s="37"/>
      <c r="Q1154" s="37"/>
      <c r="R1154" s="37"/>
      <c r="S1154" s="37"/>
      <c r="T1154" s="37"/>
      <c r="U1154" s="37"/>
    </row>
    <row r="1155" spans="1:21" ht="15.6">
      <c r="A1155" s="37"/>
      <c r="B1155" s="37"/>
      <c r="C1155" s="37"/>
      <c r="D1155" s="37"/>
      <c r="E1155" s="37"/>
      <c r="F1155" s="46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</row>
    <row r="1156" spans="1:21" ht="15.6">
      <c r="A1156" s="37"/>
      <c r="B1156" s="37"/>
      <c r="C1156" s="37"/>
      <c r="D1156" s="37"/>
      <c r="E1156" s="37"/>
      <c r="F1156" s="46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</row>
    <row r="1157" spans="1:21" ht="15.6">
      <c r="A1157" s="37"/>
      <c r="B1157" s="37"/>
      <c r="C1157" s="37"/>
      <c r="D1157" s="37"/>
      <c r="E1157" s="37"/>
      <c r="F1157" s="46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</row>
    <row r="1158" spans="1:21" ht="15.6">
      <c r="A1158" s="37"/>
      <c r="B1158" s="37"/>
      <c r="C1158" s="37"/>
      <c r="D1158" s="37"/>
      <c r="E1158" s="37"/>
      <c r="F1158" s="46"/>
      <c r="G1158" s="37"/>
      <c r="H1158" s="37"/>
      <c r="I1158" s="37"/>
      <c r="J1158" s="37"/>
      <c r="K1158" s="37"/>
      <c r="L1158" s="37"/>
      <c r="M1158" s="37"/>
      <c r="N1158" s="37"/>
      <c r="O1158" s="37"/>
      <c r="P1158" s="37"/>
      <c r="Q1158" s="37"/>
      <c r="R1158" s="37"/>
      <c r="S1158" s="37"/>
      <c r="T1158" s="37"/>
      <c r="U1158" s="37"/>
    </row>
    <row r="1159" spans="1:21" ht="15.6">
      <c r="A1159" s="37"/>
      <c r="B1159" s="37"/>
      <c r="C1159" s="37"/>
      <c r="D1159" s="37"/>
      <c r="E1159" s="37"/>
      <c r="F1159" s="46"/>
      <c r="G1159" s="37"/>
      <c r="H1159" s="37"/>
      <c r="I1159" s="37"/>
      <c r="J1159" s="37"/>
      <c r="K1159" s="37"/>
      <c r="L1159" s="37"/>
      <c r="M1159" s="37"/>
      <c r="N1159" s="37"/>
      <c r="O1159" s="37"/>
      <c r="P1159" s="37"/>
      <c r="Q1159" s="37"/>
      <c r="R1159" s="37"/>
      <c r="S1159" s="37"/>
      <c r="T1159" s="37"/>
      <c r="U1159" s="37"/>
    </row>
    <row r="1160" spans="1:21" ht="15.6">
      <c r="A1160" s="37"/>
      <c r="B1160" s="37"/>
      <c r="C1160" s="37"/>
      <c r="D1160" s="37"/>
      <c r="E1160" s="37"/>
      <c r="F1160" s="46"/>
      <c r="G1160" s="37"/>
      <c r="H1160" s="37"/>
      <c r="I1160" s="37"/>
      <c r="J1160" s="37"/>
      <c r="K1160" s="37"/>
      <c r="L1160" s="37"/>
      <c r="M1160" s="37"/>
      <c r="N1160" s="37"/>
      <c r="O1160" s="37"/>
      <c r="P1160" s="37"/>
      <c r="Q1160" s="37"/>
      <c r="R1160" s="37"/>
      <c r="S1160" s="37"/>
      <c r="T1160" s="37"/>
      <c r="U1160" s="37"/>
    </row>
    <row r="1161" spans="1:21" ht="15.6">
      <c r="A1161" s="37"/>
      <c r="B1161" s="37"/>
      <c r="C1161" s="37"/>
      <c r="D1161" s="37"/>
      <c r="E1161" s="37"/>
      <c r="F1161" s="46"/>
      <c r="G1161" s="37"/>
      <c r="H1161" s="37"/>
      <c r="I1161" s="37"/>
      <c r="J1161" s="37"/>
      <c r="K1161" s="37"/>
      <c r="L1161" s="37"/>
      <c r="M1161" s="37"/>
      <c r="N1161" s="37"/>
      <c r="O1161" s="37"/>
      <c r="P1161" s="37"/>
      <c r="Q1161" s="37"/>
      <c r="R1161" s="37"/>
      <c r="S1161" s="37"/>
      <c r="T1161" s="37"/>
      <c r="U1161" s="37"/>
    </row>
    <row r="1162" spans="1:21" ht="15.6">
      <c r="A1162" s="37"/>
      <c r="B1162" s="37"/>
      <c r="C1162" s="37"/>
      <c r="D1162" s="37"/>
      <c r="E1162" s="37"/>
      <c r="F1162" s="46"/>
      <c r="G1162" s="37"/>
      <c r="H1162" s="37"/>
      <c r="I1162" s="37"/>
      <c r="J1162" s="37"/>
      <c r="K1162" s="37"/>
      <c r="L1162" s="37"/>
      <c r="M1162" s="37"/>
      <c r="N1162" s="37"/>
      <c r="O1162" s="37"/>
      <c r="P1162" s="37"/>
      <c r="Q1162" s="37"/>
      <c r="R1162" s="37"/>
      <c r="S1162" s="37"/>
      <c r="T1162" s="37"/>
      <c r="U1162" s="37"/>
    </row>
    <row r="1163" spans="1:21" ht="15.6">
      <c r="A1163" s="37"/>
      <c r="B1163" s="37"/>
      <c r="C1163" s="37"/>
      <c r="D1163" s="37"/>
      <c r="E1163" s="37"/>
      <c r="F1163" s="46"/>
      <c r="G1163" s="37"/>
      <c r="H1163" s="37"/>
      <c r="I1163" s="37"/>
      <c r="J1163" s="37"/>
      <c r="K1163" s="37"/>
      <c r="L1163" s="37"/>
      <c r="M1163" s="37"/>
      <c r="N1163" s="37"/>
      <c r="O1163" s="37"/>
      <c r="P1163" s="37"/>
      <c r="Q1163" s="37"/>
      <c r="R1163" s="37"/>
      <c r="S1163" s="37"/>
      <c r="T1163" s="37"/>
      <c r="U1163" s="37"/>
    </row>
    <row r="1164" spans="1:21" ht="15.6">
      <c r="A1164" s="37"/>
      <c r="B1164" s="37"/>
      <c r="C1164" s="37"/>
      <c r="D1164" s="37"/>
      <c r="E1164" s="37"/>
      <c r="F1164" s="46"/>
      <c r="G1164" s="37"/>
      <c r="H1164" s="37"/>
      <c r="I1164" s="37"/>
      <c r="J1164" s="37"/>
      <c r="K1164" s="37"/>
      <c r="L1164" s="37"/>
      <c r="M1164" s="37"/>
      <c r="N1164" s="37"/>
      <c r="O1164" s="37"/>
      <c r="P1164" s="37"/>
      <c r="Q1164" s="37"/>
      <c r="R1164" s="37"/>
      <c r="S1164" s="37"/>
      <c r="T1164" s="37"/>
      <c r="U1164" s="37"/>
    </row>
    <row r="1165" spans="1:21" ht="15.6">
      <c r="A1165" s="37"/>
      <c r="B1165" s="37"/>
      <c r="C1165" s="37"/>
      <c r="D1165" s="37"/>
      <c r="E1165" s="37"/>
      <c r="F1165" s="46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</row>
    <row r="1166" spans="1:21" ht="15.6">
      <c r="A1166" s="37"/>
      <c r="B1166" s="37"/>
      <c r="C1166" s="37"/>
      <c r="D1166" s="37"/>
      <c r="E1166" s="37"/>
      <c r="F1166" s="46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</row>
    <row r="1167" spans="1:21" ht="15.6">
      <c r="A1167" s="37"/>
      <c r="B1167" s="37"/>
      <c r="C1167" s="37"/>
      <c r="D1167" s="37"/>
      <c r="E1167" s="37"/>
      <c r="F1167" s="46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</row>
    <row r="1168" spans="1:21" ht="15.6">
      <c r="A1168" s="37"/>
      <c r="B1168" s="37"/>
      <c r="C1168" s="37"/>
      <c r="D1168" s="37"/>
      <c r="E1168" s="37"/>
      <c r="F1168" s="46"/>
      <c r="G1168" s="37"/>
      <c r="H1168" s="37"/>
      <c r="I1168" s="37"/>
      <c r="J1168" s="37"/>
      <c r="K1168" s="37"/>
      <c r="L1168" s="37"/>
      <c r="M1168" s="37"/>
      <c r="N1168" s="37"/>
      <c r="O1168" s="37"/>
      <c r="P1168" s="37"/>
      <c r="Q1168" s="37"/>
      <c r="R1168" s="37"/>
      <c r="S1168" s="37"/>
      <c r="T1168" s="37"/>
      <c r="U1168" s="37"/>
    </row>
    <row r="1169" spans="1:21" ht="15.6">
      <c r="A1169" s="37"/>
      <c r="B1169" s="37"/>
      <c r="C1169" s="37"/>
      <c r="D1169" s="37"/>
      <c r="E1169" s="37"/>
      <c r="F1169" s="46"/>
      <c r="G1169" s="37"/>
      <c r="H1169" s="37"/>
      <c r="I1169" s="37"/>
      <c r="J1169" s="37"/>
      <c r="K1169" s="37"/>
      <c r="L1169" s="37"/>
      <c r="M1169" s="37"/>
      <c r="N1169" s="37"/>
      <c r="O1169" s="37"/>
      <c r="P1169" s="37"/>
      <c r="Q1169" s="37"/>
      <c r="R1169" s="37"/>
      <c r="S1169" s="37"/>
      <c r="T1169" s="37"/>
      <c r="U1169" s="37"/>
    </row>
    <row r="1170" spans="1:21" ht="15.6">
      <c r="A1170" s="37"/>
      <c r="B1170" s="37"/>
      <c r="C1170" s="37"/>
      <c r="D1170" s="37"/>
      <c r="E1170" s="37"/>
      <c r="F1170" s="46"/>
      <c r="G1170" s="37"/>
      <c r="H1170" s="37"/>
      <c r="I1170" s="37"/>
      <c r="J1170" s="37"/>
      <c r="K1170" s="37"/>
      <c r="L1170" s="37"/>
      <c r="M1170" s="37"/>
      <c r="N1170" s="37"/>
      <c r="O1170" s="37"/>
      <c r="P1170" s="37"/>
      <c r="Q1170" s="37"/>
      <c r="R1170" s="37"/>
      <c r="S1170" s="37"/>
      <c r="T1170" s="37"/>
      <c r="U1170" s="37"/>
    </row>
    <row r="1171" spans="1:21" ht="15.6">
      <c r="A1171" s="37"/>
      <c r="B1171" s="37"/>
      <c r="C1171" s="37"/>
      <c r="D1171" s="37"/>
      <c r="E1171" s="37"/>
      <c r="F1171" s="46"/>
      <c r="G1171" s="37"/>
      <c r="H1171" s="37"/>
      <c r="I1171" s="37"/>
      <c r="J1171" s="37"/>
      <c r="K1171" s="37"/>
      <c r="L1171" s="37"/>
      <c r="M1171" s="37"/>
      <c r="N1171" s="37"/>
      <c r="O1171" s="37"/>
      <c r="P1171" s="37"/>
      <c r="Q1171" s="37"/>
      <c r="R1171" s="37"/>
      <c r="S1171" s="37"/>
      <c r="T1171" s="37"/>
      <c r="U1171" s="37"/>
    </row>
    <row r="1172" spans="1:21" ht="15.6">
      <c r="A1172" s="37"/>
      <c r="B1172" s="37"/>
      <c r="C1172" s="37"/>
      <c r="D1172" s="37"/>
      <c r="E1172" s="37"/>
      <c r="F1172" s="46"/>
      <c r="G1172" s="37"/>
      <c r="H1172" s="37"/>
      <c r="I1172" s="37"/>
      <c r="J1172" s="37"/>
      <c r="K1172" s="37"/>
      <c r="L1172" s="37"/>
      <c r="M1172" s="37"/>
      <c r="N1172" s="37"/>
      <c r="O1172" s="37"/>
      <c r="P1172" s="37"/>
      <c r="Q1172" s="37"/>
      <c r="R1172" s="37"/>
      <c r="S1172" s="37"/>
      <c r="T1172" s="37"/>
      <c r="U1172" s="37"/>
    </row>
    <row r="1173" spans="1:21" ht="15.6">
      <c r="A1173" s="37"/>
      <c r="B1173" s="37"/>
      <c r="C1173" s="37"/>
      <c r="D1173" s="37"/>
      <c r="E1173" s="37"/>
      <c r="F1173" s="46"/>
      <c r="G1173" s="37"/>
      <c r="H1173" s="37"/>
      <c r="I1173" s="37"/>
      <c r="J1173" s="37"/>
      <c r="K1173" s="37"/>
      <c r="L1173" s="37"/>
      <c r="M1173" s="37"/>
      <c r="N1173" s="37"/>
      <c r="O1173" s="37"/>
      <c r="P1173" s="37"/>
      <c r="Q1173" s="37"/>
      <c r="R1173" s="37"/>
      <c r="S1173" s="37"/>
      <c r="T1173" s="37"/>
      <c r="U1173" s="37"/>
    </row>
    <row r="1174" spans="1:21" ht="15.6">
      <c r="A1174" s="37"/>
      <c r="B1174" s="37"/>
      <c r="C1174" s="37"/>
      <c r="D1174" s="37"/>
      <c r="E1174" s="37"/>
      <c r="F1174" s="46"/>
      <c r="G1174" s="37"/>
      <c r="H1174" s="37"/>
      <c r="I1174" s="37"/>
      <c r="J1174" s="37"/>
      <c r="K1174" s="37"/>
      <c r="L1174" s="37"/>
      <c r="M1174" s="37"/>
      <c r="N1174" s="37"/>
      <c r="O1174" s="37"/>
      <c r="P1174" s="37"/>
      <c r="Q1174" s="37"/>
      <c r="R1174" s="37"/>
      <c r="S1174" s="37"/>
      <c r="T1174" s="37"/>
      <c r="U1174" s="37"/>
    </row>
    <row r="1175" spans="1:21" ht="15.6">
      <c r="A1175" s="37"/>
      <c r="B1175" s="37"/>
      <c r="C1175" s="37"/>
      <c r="D1175" s="37"/>
      <c r="E1175" s="37"/>
      <c r="F1175" s="46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</row>
    <row r="1176" spans="1:21" ht="15.6">
      <c r="A1176" s="37"/>
      <c r="B1176" s="37"/>
      <c r="C1176" s="37"/>
      <c r="D1176" s="37"/>
      <c r="E1176" s="37"/>
      <c r="F1176" s="46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</row>
    <row r="1177" spans="1:21" ht="15.6">
      <c r="A1177" s="37"/>
      <c r="B1177" s="37"/>
      <c r="C1177" s="37"/>
      <c r="D1177" s="37"/>
      <c r="E1177" s="37"/>
      <c r="F1177" s="46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</row>
    <row r="1178" spans="1:21" ht="15.6">
      <c r="A1178" s="37"/>
      <c r="B1178" s="37"/>
      <c r="C1178" s="37"/>
      <c r="D1178" s="37"/>
      <c r="E1178" s="37"/>
      <c r="F1178" s="46"/>
      <c r="G1178" s="37"/>
      <c r="H1178" s="37"/>
      <c r="I1178" s="37"/>
      <c r="J1178" s="37"/>
      <c r="K1178" s="37"/>
      <c r="L1178" s="37"/>
      <c r="M1178" s="37"/>
      <c r="N1178" s="37"/>
      <c r="O1178" s="37"/>
      <c r="P1178" s="37"/>
      <c r="Q1178" s="37"/>
      <c r="R1178" s="37"/>
      <c r="S1178" s="37"/>
      <c r="T1178" s="37"/>
      <c r="U1178" s="37"/>
    </row>
    <row r="1179" spans="1:21" ht="15.6">
      <c r="A1179" s="37"/>
      <c r="B1179" s="37"/>
      <c r="C1179" s="37"/>
      <c r="D1179" s="37"/>
      <c r="E1179" s="37"/>
      <c r="F1179" s="46"/>
      <c r="G1179" s="37"/>
      <c r="H1179" s="37"/>
      <c r="I1179" s="37"/>
      <c r="J1179" s="37"/>
      <c r="K1179" s="37"/>
      <c r="L1179" s="37"/>
      <c r="M1179" s="37"/>
      <c r="N1179" s="37"/>
      <c r="O1179" s="37"/>
      <c r="P1179" s="37"/>
      <c r="Q1179" s="37"/>
      <c r="R1179" s="37"/>
      <c r="S1179" s="37"/>
      <c r="T1179" s="37"/>
      <c r="U1179" s="37"/>
    </row>
    <row r="1180" spans="1:21" ht="15.6">
      <c r="A1180" s="37"/>
      <c r="B1180" s="37"/>
      <c r="C1180" s="37"/>
      <c r="D1180" s="37"/>
      <c r="E1180" s="37"/>
      <c r="F1180" s="46"/>
      <c r="G1180" s="37"/>
      <c r="H1180" s="37"/>
      <c r="I1180" s="37"/>
      <c r="J1180" s="37"/>
      <c r="K1180" s="37"/>
      <c r="L1180" s="37"/>
      <c r="M1180" s="37"/>
      <c r="N1180" s="37"/>
      <c r="O1180" s="37"/>
      <c r="P1180" s="37"/>
      <c r="Q1180" s="37"/>
      <c r="R1180" s="37"/>
      <c r="S1180" s="37"/>
      <c r="T1180" s="37"/>
      <c r="U1180" s="37"/>
    </row>
    <row r="1181" spans="1:21" ht="15.6">
      <c r="A1181" s="37"/>
      <c r="B1181" s="37"/>
      <c r="C1181" s="37"/>
      <c r="D1181" s="37"/>
      <c r="E1181" s="37"/>
      <c r="F1181" s="46"/>
      <c r="G1181" s="37"/>
      <c r="H1181" s="37"/>
      <c r="I1181" s="37"/>
      <c r="J1181" s="37"/>
      <c r="K1181" s="37"/>
      <c r="L1181" s="37"/>
      <c r="M1181" s="37"/>
      <c r="N1181" s="37"/>
      <c r="O1181" s="37"/>
      <c r="P1181" s="37"/>
      <c r="Q1181" s="37"/>
      <c r="R1181" s="37"/>
      <c r="S1181" s="37"/>
      <c r="T1181" s="37"/>
      <c r="U1181" s="37"/>
    </row>
    <row r="1182" spans="1:21" ht="15.6">
      <c r="A1182" s="37"/>
      <c r="B1182" s="37"/>
      <c r="C1182" s="37"/>
      <c r="D1182" s="37"/>
      <c r="E1182" s="37"/>
      <c r="F1182" s="46"/>
      <c r="G1182" s="37"/>
      <c r="H1182" s="37"/>
      <c r="I1182" s="37"/>
      <c r="J1182" s="37"/>
      <c r="K1182" s="37"/>
      <c r="L1182" s="37"/>
      <c r="M1182" s="37"/>
      <c r="N1182" s="37"/>
      <c r="O1182" s="37"/>
      <c r="P1182" s="37"/>
      <c r="Q1182" s="37"/>
      <c r="R1182" s="37"/>
      <c r="S1182" s="37"/>
      <c r="T1182" s="37"/>
      <c r="U1182" s="37"/>
    </row>
    <row r="1183" spans="1:21" ht="15.6">
      <c r="A1183" s="37"/>
      <c r="B1183" s="37"/>
      <c r="C1183" s="37"/>
      <c r="D1183" s="37"/>
      <c r="E1183" s="37"/>
      <c r="F1183" s="46"/>
      <c r="G1183" s="37"/>
      <c r="H1183" s="37"/>
      <c r="I1183" s="37"/>
      <c r="J1183" s="37"/>
      <c r="K1183" s="37"/>
      <c r="L1183" s="37"/>
      <c r="M1183" s="37"/>
      <c r="N1183" s="37"/>
      <c r="O1183" s="37"/>
      <c r="P1183" s="37"/>
      <c r="Q1183" s="37"/>
      <c r="R1183" s="37"/>
      <c r="S1183" s="37"/>
      <c r="T1183" s="37"/>
      <c r="U1183" s="37"/>
    </row>
    <row r="1184" spans="1:21" ht="15.6">
      <c r="A1184" s="37"/>
      <c r="B1184" s="37"/>
      <c r="C1184" s="37"/>
      <c r="D1184" s="37"/>
      <c r="E1184" s="37"/>
      <c r="F1184" s="46"/>
      <c r="G1184" s="37"/>
      <c r="H1184" s="37"/>
      <c r="I1184" s="37"/>
      <c r="J1184" s="37"/>
      <c r="K1184" s="37"/>
      <c r="L1184" s="37"/>
      <c r="M1184" s="37"/>
      <c r="N1184" s="37"/>
      <c r="O1184" s="37"/>
      <c r="P1184" s="37"/>
      <c r="Q1184" s="37"/>
      <c r="R1184" s="37"/>
      <c r="S1184" s="37"/>
      <c r="T1184" s="37"/>
      <c r="U1184" s="37"/>
    </row>
    <row r="1185" spans="1:21" ht="15.6">
      <c r="A1185" s="37"/>
      <c r="B1185" s="37"/>
      <c r="C1185" s="37"/>
      <c r="D1185" s="37"/>
      <c r="E1185" s="37"/>
      <c r="F1185" s="46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</row>
    <row r="1186" spans="1:21" ht="15.6">
      <c r="A1186" s="37"/>
      <c r="B1186" s="37"/>
      <c r="C1186" s="37"/>
      <c r="D1186" s="37"/>
      <c r="E1186" s="37"/>
      <c r="F1186" s="46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</row>
    <row r="1187" spans="1:21" ht="15.6">
      <c r="A1187" s="37"/>
      <c r="B1187" s="37"/>
      <c r="C1187" s="37"/>
      <c r="D1187" s="37"/>
      <c r="E1187" s="37"/>
      <c r="F1187" s="46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</row>
    <row r="1188" spans="1:21" ht="15.6">
      <c r="A1188" s="37"/>
      <c r="B1188" s="37"/>
      <c r="C1188" s="37"/>
      <c r="D1188" s="37"/>
      <c r="E1188" s="37"/>
      <c r="F1188" s="46"/>
      <c r="G1188" s="37"/>
      <c r="H1188" s="37"/>
      <c r="I1188" s="37"/>
      <c r="J1188" s="37"/>
      <c r="K1188" s="37"/>
      <c r="L1188" s="37"/>
      <c r="M1188" s="37"/>
      <c r="N1188" s="37"/>
      <c r="O1188" s="37"/>
      <c r="P1188" s="37"/>
      <c r="Q1188" s="37"/>
      <c r="R1188" s="37"/>
      <c r="S1188" s="37"/>
      <c r="T1188" s="37"/>
      <c r="U1188" s="37"/>
    </row>
    <row r="1189" spans="1:21" ht="15.6">
      <c r="A1189" s="37"/>
      <c r="B1189" s="37"/>
      <c r="C1189" s="37"/>
      <c r="D1189" s="37"/>
      <c r="E1189" s="37"/>
      <c r="F1189" s="46"/>
      <c r="G1189" s="37"/>
      <c r="H1189" s="37"/>
      <c r="I1189" s="37"/>
      <c r="J1189" s="37"/>
      <c r="K1189" s="37"/>
      <c r="L1189" s="37"/>
      <c r="M1189" s="37"/>
      <c r="N1189" s="37"/>
      <c r="O1189" s="37"/>
      <c r="P1189" s="37"/>
      <c r="Q1189" s="37"/>
      <c r="R1189" s="37"/>
      <c r="S1189" s="37"/>
      <c r="T1189" s="37"/>
      <c r="U1189" s="37"/>
    </row>
    <row r="1190" spans="1:21" ht="15.6">
      <c r="A1190" s="37"/>
      <c r="B1190" s="37"/>
      <c r="C1190" s="37"/>
      <c r="D1190" s="37"/>
      <c r="E1190" s="37"/>
      <c r="F1190" s="46"/>
      <c r="G1190" s="37"/>
      <c r="H1190" s="37"/>
      <c r="I1190" s="37"/>
      <c r="J1190" s="37"/>
      <c r="K1190" s="37"/>
      <c r="L1190" s="37"/>
      <c r="M1190" s="37"/>
      <c r="N1190" s="37"/>
      <c r="O1190" s="37"/>
      <c r="P1190" s="37"/>
      <c r="Q1190" s="37"/>
      <c r="R1190" s="37"/>
      <c r="S1190" s="37"/>
      <c r="T1190" s="37"/>
      <c r="U1190" s="37"/>
    </row>
    <row r="1191" spans="1:21" ht="15.6">
      <c r="A1191" s="37"/>
      <c r="B1191" s="37"/>
      <c r="C1191" s="37"/>
      <c r="D1191" s="37"/>
      <c r="E1191" s="37"/>
      <c r="F1191" s="46"/>
      <c r="G1191" s="37"/>
      <c r="H1191" s="37"/>
      <c r="I1191" s="37"/>
      <c r="J1191" s="37"/>
      <c r="K1191" s="37"/>
      <c r="L1191" s="37"/>
      <c r="M1191" s="37"/>
      <c r="N1191" s="37"/>
      <c r="O1191" s="37"/>
      <c r="P1191" s="37"/>
      <c r="Q1191" s="37"/>
      <c r="R1191" s="37"/>
      <c r="S1191" s="37"/>
      <c r="T1191" s="37"/>
      <c r="U1191" s="37"/>
    </row>
    <row r="1192" spans="1:21" ht="15.6">
      <c r="A1192" s="37"/>
      <c r="B1192" s="37"/>
      <c r="C1192" s="37"/>
      <c r="D1192" s="37"/>
      <c r="E1192" s="37"/>
      <c r="F1192" s="46"/>
      <c r="G1192" s="37"/>
      <c r="H1192" s="37"/>
      <c r="I1192" s="37"/>
      <c r="J1192" s="37"/>
      <c r="K1192" s="37"/>
      <c r="L1192" s="37"/>
      <c r="M1192" s="37"/>
      <c r="N1192" s="37"/>
      <c r="O1192" s="37"/>
      <c r="P1192" s="37"/>
      <c r="Q1192" s="37"/>
      <c r="R1192" s="37"/>
      <c r="S1192" s="37"/>
      <c r="T1192" s="37"/>
      <c r="U1192" s="37"/>
    </row>
    <row r="1193" spans="1:21" ht="15.6">
      <c r="A1193" s="37"/>
      <c r="B1193" s="37"/>
      <c r="C1193" s="37"/>
      <c r="D1193" s="37"/>
      <c r="E1193" s="37"/>
      <c r="F1193" s="46"/>
      <c r="G1193" s="37"/>
      <c r="H1193" s="37"/>
      <c r="I1193" s="37"/>
      <c r="J1193" s="37"/>
      <c r="K1193" s="37"/>
      <c r="L1193" s="37"/>
      <c r="M1193" s="37"/>
      <c r="N1193" s="37"/>
      <c r="O1193" s="37"/>
      <c r="P1193" s="37"/>
      <c r="Q1193" s="37"/>
      <c r="R1193" s="37"/>
      <c r="S1193" s="37"/>
      <c r="T1193" s="37"/>
      <c r="U1193" s="37"/>
    </row>
    <row r="1194" spans="1:21" ht="15.6">
      <c r="A1194" s="37"/>
      <c r="B1194" s="37"/>
      <c r="C1194" s="37"/>
      <c r="D1194" s="37"/>
      <c r="E1194" s="37"/>
      <c r="F1194" s="46"/>
      <c r="G1194" s="37"/>
      <c r="H1194" s="37"/>
      <c r="I1194" s="37"/>
      <c r="J1194" s="37"/>
      <c r="K1194" s="37"/>
      <c r="L1194" s="37"/>
      <c r="M1194" s="37"/>
      <c r="N1194" s="37"/>
      <c r="O1194" s="37"/>
      <c r="P1194" s="37"/>
      <c r="Q1194" s="37"/>
      <c r="R1194" s="37"/>
      <c r="S1194" s="37"/>
      <c r="T1194" s="37"/>
      <c r="U1194" s="37"/>
    </row>
    <row r="1195" spans="1:21" ht="15.6">
      <c r="A1195" s="37"/>
      <c r="B1195" s="37"/>
      <c r="C1195" s="37"/>
      <c r="D1195" s="37"/>
      <c r="E1195" s="37"/>
      <c r="F1195" s="46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</row>
    <row r="1196" spans="1:21" ht="15.6">
      <c r="A1196" s="37"/>
      <c r="B1196" s="37"/>
      <c r="C1196" s="37"/>
      <c r="D1196" s="37"/>
      <c r="E1196" s="37"/>
      <c r="F1196" s="46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</row>
    <row r="1197" spans="1:21" ht="15.6">
      <c r="A1197" s="37"/>
      <c r="B1197" s="37"/>
      <c r="C1197" s="37"/>
      <c r="D1197" s="37"/>
      <c r="E1197" s="37"/>
      <c r="F1197" s="46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</row>
    <row r="1198" spans="1:21" ht="15.6">
      <c r="A1198" s="37"/>
      <c r="B1198" s="37"/>
      <c r="C1198" s="37"/>
      <c r="D1198" s="37"/>
      <c r="E1198" s="37"/>
      <c r="F1198" s="46"/>
      <c r="G1198" s="37"/>
      <c r="H1198" s="37"/>
      <c r="I1198" s="37"/>
      <c r="J1198" s="37"/>
      <c r="K1198" s="37"/>
      <c r="L1198" s="37"/>
      <c r="M1198" s="37"/>
      <c r="N1198" s="37"/>
      <c r="O1198" s="37"/>
      <c r="P1198" s="37"/>
      <c r="Q1198" s="37"/>
      <c r="R1198" s="37"/>
      <c r="S1198" s="37"/>
      <c r="T1198" s="37"/>
      <c r="U1198" s="37"/>
    </row>
    <row r="1199" spans="1:21" ht="15.6">
      <c r="A1199" s="37"/>
      <c r="B1199" s="37"/>
      <c r="C1199" s="37"/>
      <c r="D1199" s="37"/>
      <c r="E1199" s="37"/>
      <c r="F1199" s="46"/>
      <c r="G1199" s="37"/>
      <c r="H1199" s="37"/>
      <c r="I1199" s="37"/>
      <c r="J1199" s="37"/>
      <c r="K1199" s="37"/>
      <c r="L1199" s="37"/>
      <c r="M1199" s="37"/>
      <c r="N1199" s="37"/>
      <c r="O1199" s="37"/>
      <c r="P1199" s="37"/>
      <c r="Q1199" s="37"/>
      <c r="R1199" s="37"/>
      <c r="S1199" s="37"/>
      <c r="T1199" s="37"/>
      <c r="U1199" s="37"/>
    </row>
    <row r="1200" spans="1:21" ht="15.6">
      <c r="A1200" s="37"/>
      <c r="B1200" s="37"/>
      <c r="C1200" s="37"/>
      <c r="D1200" s="37"/>
      <c r="E1200" s="37"/>
      <c r="F1200" s="46"/>
      <c r="G1200" s="37"/>
      <c r="H1200" s="37"/>
      <c r="I1200" s="37"/>
      <c r="J1200" s="37"/>
      <c r="K1200" s="37"/>
      <c r="L1200" s="37"/>
      <c r="M1200" s="37"/>
      <c r="N1200" s="37"/>
      <c r="O1200" s="37"/>
      <c r="P1200" s="37"/>
      <c r="Q1200" s="37"/>
      <c r="R1200" s="37"/>
      <c r="S1200" s="37"/>
      <c r="T1200" s="37"/>
      <c r="U1200" s="37"/>
    </row>
    <row r="1201" spans="1:21" ht="15.6">
      <c r="A1201" s="37"/>
      <c r="B1201" s="37"/>
      <c r="C1201" s="37"/>
      <c r="D1201" s="37"/>
      <c r="E1201" s="37"/>
      <c r="F1201" s="46"/>
      <c r="G1201" s="37"/>
      <c r="H1201" s="37"/>
      <c r="I1201" s="37"/>
      <c r="J1201" s="37"/>
      <c r="K1201" s="37"/>
      <c r="L1201" s="37"/>
      <c r="M1201" s="37"/>
      <c r="N1201" s="37"/>
      <c r="O1201" s="37"/>
      <c r="P1201" s="37"/>
      <c r="Q1201" s="37"/>
      <c r="R1201" s="37"/>
      <c r="S1201" s="37"/>
      <c r="T1201" s="37"/>
      <c r="U1201" s="37"/>
    </row>
    <row r="1202" spans="1:21" ht="15.6">
      <c r="A1202" s="37"/>
      <c r="B1202" s="37"/>
      <c r="C1202" s="37"/>
      <c r="D1202" s="37"/>
      <c r="E1202" s="37"/>
      <c r="F1202" s="46"/>
      <c r="G1202" s="37"/>
      <c r="H1202" s="37"/>
      <c r="I1202" s="37"/>
      <c r="J1202" s="37"/>
      <c r="K1202" s="37"/>
      <c r="L1202" s="37"/>
      <c r="M1202" s="37"/>
      <c r="N1202" s="37"/>
      <c r="O1202" s="37"/>
      <c r="P1202" s="37"/>
      <c r="Q1202" s="37"/>
      <c r="R1202" s="37"/>
      <c r="S1202" s="37"/>
      <c r="T1202" s="37"/>
      <c r="U1202" s="37"/>
    </row>
    <row r="1203" spans="1:21" ht="15.6">
      <c r="A1203" s="37"/>
      <c r="B1203" s="37"/>
      <c r="C1203" s="37"/>
      <c r="D1203" s="37"/>
      <c r="E1203" s="37"/>
      <c r="F1203" s="46"/>
      <c r="G1203" s="37"/>
      <c r="H1203" s="37"/>
      <c r="I1203" s="37"/>
      <c r="J1203" s="37"/>
      <c r="K1203" s="37"/>
      <c r="L1203" s="37"/>
      <c r="M1203" s="37"/>
      <c r="N1203" s="37"/>
      <c r="O1203" s="37"/>
      <c r="P1203" s="37"/>
      <c r="Q1203" s="37"/>
      <c r="R1203" s="37"/>
      <c r="S1203" s="37"/>
      <c r="T1203" s="37"/>
      <c r="U1203" s="37"/>
    </row>
    <row r="1204" spans="1:21" ht="15.6">
      <c r="A1204" s="37"/>
      <c r="B1204" s="37"/>
      <c r="C1204" s="37"/>
      <c r="D1204" s="37"/>
      <c r="E1204" s="37"/>
      <c r="F1204" s="46"/>
      <c r="G1204" s="37"/>
      <c r="H1204" s="37"/>
      <c r="I1204" s="37"/>
      <c r="J1204" s="37"/>
      <c r="K1204" s="37"/>
      <c r="L1204" s="37"/>
      <c r="M1204" s="37"/>
      <c r="N1204" s="37"/>
      <c r="O1204" s="37"/>
      <c r="P1204" s="37"/>
      <c r="Q1204" s="37"/>
      <c r="R1204" s="37"/>
      <c r="S1204" s="37"/>
      <c r="T1204" s="37"/>
      <c r="U1204" s="37"/>
    </row>
    <row r="1205" spans="1:21" ht="15.6">
      <c r="A1205" s="37"/>
      <c r="B1205" s="37"/>
      <c r="C1205" s="37"/>
      <c r="D1205" s="37"/>
      <c r="E1205" s="37"/>
      <c r="F1205" s="46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</row>
    <row r="1206" spans="1:21" ht="15.6">
      <c r="A1206" s="37"/>
      <c r="B1206" s="37"/>
      <c r="C1206" s="37"/>
      <c r="D1206" s="37"/>
      <c r="E1206" s="37"/>
      <c r="F1206" s="46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</row>
    <row r="1207" spans="1:21" ht="15.6">
      <c r="A1207" s="37"/>
      <c r="B1207" s="37"/>
      <c r="C1207" s="37"/>
      <c r="D1207" s="37"/>
      <c r="E1207" s="37"/>
      <c r="F1207" s="46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</row>
    <row r="1208" spans="1:21" ht="15.6">
      <c r="A1208" s="37"/>
      <c r="B1208" s="37"/>
      <c r="C1208" s="37"/>
      <c r="D1208" s="37"/>
      <c r="E1208" s="37"/>
      <c r="F1208" s="46"/>
      <c r="G1208" s="37"/>
      <c r="H1208" s="37"/>
      <c r="I1208" s="37"/>
      <c r="J1208" s="37"/>
      <c r="K1208" s="37"/>
      <c r="L1208" s="37"/>
      <c r="M1208" s="37"/>
      <c r="N1208" s="37"/>
      <c r="O1208" s="37"/>
      <c r="P1208" s="37"/>
      <c r="Q1208" s="37"/>
      <c r="R1208" s="37"/>
      <c r="S1208" s="37"/>
      <c r="T1208" s="37"/>
      <c r="U1208" s="37"/>
    </row>
    <row r="1209" spans="1:21" ht="15.6">
      <c r="A1209" s="37"/>
      <c r="B1209" s="37"/>
      <c r="C1209" s="37"/>
      <c r="D1209" s="37"/>
      <c r="E1209" s="37"/>
      <c r="F1209" s="46"/>
      <c r="G1209" s="37"/>
      <c r="H1209" s="37"/>
      <c r="I1209" s="37"/>
      <c r="J1209" s="37"/>
      <c r="K1209" s="37"/>
      <c r="L1209" s="37"/>
      <c r="M1209" s="37"/>
      <c r="N1209" s="37"/>
      <c r="O1209" s="37"/>
      <c r="P1209" s="37"/>
      <c r="Q1209" s="37"/>
      <c r="R1209" s="37"/>
      <c r="S1209" s="37"/>
      <c r="T1209" s="37"/>
      <c r="U1209" s="37"/>
    </row>
    <row r="1210" spans="1:21" ht="15.6">
      <c r="A1210" s="37"/>
      <c r="B1210" s="37"/>
      <c r="C1210" s="37"/>
      <c r="D1210" s="37"/>
      <c r="E1210" s="37"/>
      <c r="F1210" s="46"/>
      <c r="G1210" s="37"/>
      <c r="H1210" s="37"/>
      <c r="I1210" s="37"/>
      <c r="J1210" s="37"/>
      <c r="K1210" s="37"/>
      <c r="L1210" s="37"/>
      <c r="M1210" s="37"/>
      <c r="N1210" s="37"/>
      <c r="O1210" s="37"/>
      <c r="P1210" s="37"/>
      <c r="Q1210" s="37"/>
      <c r="R1210" s="37"/>
      <c r="S1210" s="37"/>
      <c r="T1210" s="37"/>
      <c r="U1210" s="37"/>
    </row>
    <row r="1211" spans="1:21" ht="15.6">
      <c r="A1211" s="37"/>
      <c r="B1211" s="37"/>
      <c r="C1211" s="37"/>
      <c r="D1211" s="37"/>
      <c r="E1211" s="37"/>
      <c r="F1211" s="46"/>
      <c r="G1211" s="37"/>
      <c r="H1211" s="37"/>
      <c r="I1211" s="37"/>
      <c r="J1211" s="37"/>
      <c r="K1211" s="37"/>
      <c r="L1211" s="37"/>
      <c r="M1211" s="37"/>
      <c r="N1211" s="37"/>
      <c r="O1211" s="37"/>
      <c r="P1211" s="37"/>
      <c r="Q1211" s="37"/>
      <c r="R1211" s="37"/>
      <c r="S1211" s="37"/>
      <c r="T1211" s="37"/>
      <c r="U1211" s="37"/>
    </row>
    <row r="1212" spans="1:21" ht="15.6">
      <c r="A1212" s="37"/>
      <c r="B1212" s="37"/>
      <c r="C1212" s="37"/>
      <c r="D1212" s="37"/>
      <c r="E1212" s="37"/>
      <c r="F1212" s="46"/>
      <c r="G1212" s="37"/>
      <c r="H1212" s="37"/>
      <c r="I1212" s="37"/>
      <c r="J1212" s="37"/>
      <c r="K1212" s="37"/>
      <c r="L1212" s="37"/>
      <c r="M1212" s="37"/>
      <c r="N1212" s="37"/>
      <c r="O1212" s="37"/>
      <c r="P1212" s="37"/>
      <c r="Q1212" s="37"/>
      <c r="R1212" s="37"/>
      <c r="S1212" s="37"/>
      <c r="T1212" s="37"/>
      <c r="U1212" s="37"/>
    </row>
    <row r="1213" spans="1:21" ht="15.6">
      <c r="A1213" s="37"/>
      <c r="B1213" s="37"/>
      <c r="C1213" s="37"/>
      <c r="D1213" s="37"/>
      <c r="E1213" s="37"/>
      <c r="F1213" s="46"/>
      <c r="G1213" s="37"/>
      <c r="H1213" s="37"/>
      <c r="I1213" s="37"/>
      <c r="J1213" s="37"/>
      <c r="K1213" s="37"/>
      <c r="L1213" s="37"/>
      <c r="M1213" s="37"/>
      <c r="N1213" s="37"/>
      <c r="O1213" s="37"/>
      <c r="P1213" s="37"/>
      <c r="Q1213" s="37"/>
      <c r="R1213" s="37"/>
      <c r="S1213" s="37"/>
      <c r="T1213" s="37"/>
      <c r="U1213" s="37"/>
    </row>
    <row r="1214" spans="1:21" ht="15.6">
      <c r="A1214" s="37"/>
      <c r="B1214" s="37"/>
      <c r="C1214" s="37"/>
      <c r="D1214" s="37"/>
      <c r="E1214" s="37"/>
      <c r="F1214" s="46"/>
      <c r="G1214" s="37"/>
      <c r="H1214" s="37"/>
      <c r="I1214" s="37"/>
      <c r="J1214" s="37"/>
      <c r="K1214" s="37"/>
      <c r="L1214" s="37"/>
      <c r="M1214" s="37"/>
      <c r="N1214" s="37"/>
      <c r="O1214" s="37"/>
      <c r="P1214" s="37"/>
      <c r="Q1214" s="37"/>
      <c r="R1214" s="37"/>
      <c r="S1214" s="37"/>
      <c r="T1214" s="37"/>
      <c r="U1214" s="37"/>
    </row>
    <row r="1215" spans="1:21" ht="15.6">
      <c r="A1215" s="37"/>
      <c r="B1215" s="37"/>
      <c r="C1215" s="37"/>
      <c r="D1215" s="37"/>
      <c r="E1215" s="37"/>
      <c r="F1215" s="46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</row>
    <row r="1216" spans="1:21" ht="15.6">
      <c r="A1216" s="37"/>
      <c r="B1216" s="37"/>
      <c r="C1216" s="37"/>
      <c r="D1216" s="37"/>
      <c r="E1216" s="37"/>
      <c r="F1216" s="46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</row>
    <row r="1217" spans="1:21" ht="15.6">
      <c r="A1217" s="37"/>
      <c r="B1217" s="37"/>
      <c r="C1217" s="37"/>
      <c r="D1217" s="37"/>
      <c r="E1217" s="37"/>
      <c r="F1217" s="46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</row>
    <row r="1218" spans="1:21" ht="15.6">
      <c r="A1218" s="37"/>
      <c r="B1218" s="37"/>
      <c r="C1218" s="37"/>
      <c r="D1218" s="37"/>
      <c r="E1218" s="37"/>
      <c r="F1218" s="46"/>
      <c r="G1218" s="37"/>
      <c r="H1218" s="37"/>
      <c r="I1218" s="37"/>
      <c r="J1218" s="37"/>
      <c r="K1218" s="37"/>
      <c r="L1218" s="37"/>
      <c r="M1218" s="37"/>
      <c r="N1218" s="37"/>
      <c r="O1218" s="37"/>
      <c r="P1218" s="37"/>
      <c r="Q1218" s="37"/>
      <c r="R1218" s="37"/>
      <c r="S1218" s="37"/>
      <c r="T1218" s="37"/>
      <c r="U1218" s="37"/>
    </row>
    <row r="1219" spans="1:21" ht="15.6">
      <c r="A1219" s="37"/>
      <c r="B1219" s="37"/>
      <c r="C1219" s="37"/>
      <c r="D1219" s="37"/>
      <c r="E1219" s="37"/>
      <c r="F1219" s="46"/>
      <c r="G1219" s="37"/>
      <c r="H1219" s="37"/>
      <c r="I1219" s="37"/>
      <c r="J1219" s="37"/>
      <c r="K1219" s="37"/>
      <c r="L1219" s="37"/>
      <c r="M1219" s="37"/>
      <c r="N1219" s="37"/>
      <c r="O1219" s="37"/>
      <c r="P1219" s="37"/>
      <c r="Q1219" s="37"/>
      <c r="R1219" s="37"/>
      <c r="S1219" s="37"/>
      <c r="T1219" s="37"/>
      <c r="U1219" s="37"/>
    </row>
    <row r="1220" spans="1:21" ht="15.6">
      <c r="A1220" s="37"/>
      <c r="B1220" s="37"/>
      <c r="C1220" s="37"/>
      <c r="D1220" s="37"/>
      <c r="E1220" s="37"/>
      <c r="F1220" s="46"/>
      <c r="G1220" s="37"/>
      <c r="H1220" s="37"/>
      <c r="I1220" s="37"/>
      <c r="J1220" s="37"/>
      <c r="K1220" s="37"/>
      <c r="L1220" s="37"/>
      <c r="M1220" s="37"/>
      <c r="N1220" s="37"/>
      <c r="O1220" s="37"/>
      <c r="P1220" s="37"/>
      <c r="Q1220" s="37"/>
      <c r="R1220" s="37"/>
      <c r="S1220" s="37"/>
      <c r="T1220" s="37"/>
      <c r="U1220" s="37"/>
    </row>
    <row r="1221" spans="1:21" ht="15.6">
      <c r="A1221" s="37"/>
      <c r="B1221" s="37"/>
      <c r="C1221" s="37"/>
      <c r="D1221" s="37"/>
      <c r="E1221" s="37"/>
      <c r="F1221" s="46"/>
      <c r="G1221" s="37"/>
      <c r="H1221" s="37"/>
      <c r="I1221" s="37"/>
      <c r="J1221" s="37"/>
      <c r="K1221" s="37"/>
      <c r="L1221" s="37"/>
      <c r="M1221" s="37"/>
      <c r="N1221" s="37"/>
      <c r="O1221" s="37"/>
      <c r="P1221" s="37"/>
      <c r="Q1221" s="37"/>
      <c r="R1221" s="37"/>
      <c r="S1221" s="37"/>
      <c r="T1221" s="37"/>
      <c r="U1221" s="37"/>
    </row>
    <row r="1222" spans="1:21" ht="15.6">
      <c r="A1222" s="37"/>
      <c r="B1222" s="37"/>
      <c r="C1222" s="37"/>
      <c r="D1222" s="37"/>
      <c r="E1222" s="37"/>
      <c r="F1222" s="46"/>
      <c r="G1222" s="37"/>
      <c r="H1222" s="37"/>
      <c r="I1222" s="37"/>
      <c r="J1222" s="37"/>
      <c r="K1222" s="37"/>
      <c r="L1222" s="37"/>
      <c r="M1222" s="37"/>
      <c r="N1222" s="37"/>
      <c r="O1222" s="37"/>
      <c r="P1222" s="37"/>
      <c r="Q1222" s="37"/>
      <c r="R1222" s="37"/>
      <c r="S1222" s="37"/>
      <c r="T1222" s="37"/>
      <c r="U1222" s="37"/>
    </row>
    <row r="1223" spans="1:21" ht="15.6">
      <c r="A1223" s="37"/>
      <c r="B1223" s="37"/>
      <c r="C1223" s="37"/>
      <c r="D1223" s="37"/>
      <c r="E1223" s="37"/>
      <c r="F1223" s="46"/>
      <c r="G1223" s="37"/>
      <c r="H1223" s="37"/>
      <c r="I1223" s="37"/>
      <c r="J1223" s="37"/>
      <c r="K1223" s="37"/>
      <c r="L1223" s="37"/>
      <c r="M1223" s="37"/>
      <c r="N1223" s="37"/>
      <c r="O1223" s="37"/>
      <c r="P1223" s="37"/>
      <c r="Q1223" s="37"/>
      <c r="R1223" s="37"/>
      <c r="S1223" s="37"/>
      <c r="T1223" s="37"/>
      <c r="U1223" s="37"/>
    </row>
    <row r="1224" spans="1:21" ht="15.6">
      <c r="A1224" s="37"/>
      <c r="B1224" s="37"/>
      <c r="C1224" s="37"/>
      <c r="D1224" s="37"/>
      <c r="E1224" s="37"/>
      <c r="F1224" s="46"/>
      <c r="G1224" s="37"/>
      <c r="H1224" s="37"/>
      <c r="I1224" s="37"/>
      <c r="J1224" s="37"/>
      <c r="K1224" s="37"/>
      <c r="L1224" s="37"/>
      <c r="M1224" s="37"/>
      <c r="N1224" s="37"/>
      <c r="O1224" s="37"/>
      <c r="P1224" s="37"/>
      <c r="Q1224" s="37"/>
      <c r="R1224" s="37"/>
      <c r="S1224" s="37"/>
      <c r="T1224" s="37"/>
      <c r="U1224" s="37"/>
    </row>
    <row r="1225" spans="1:21" ht="15.6">
      <c r="A1225" s="37"/>
      <c r="B1225" s="37"/>
      <c r="C1225" s="37"/>
      <c r="D1225" s="37"/>
      <c r="E1225" s="37"/>
      <c r="F1225" s="46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</row>
    <row r="1226" spans="1:21" ht="15.6">
      <c r="A1226" s="37"/>
      <c r="B1226" s="37"/>
      <c r="C1226" s="37"/>
      <c r="D1226" s="37"/>
      <c r="E1226" s="37"/>
      <c r="F1226" s="46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</row>
    <row r="1227" spans="1:21" ht="15.6">
      <c r="A1227" s="37"/>
      <c r="B1227" s="37"/>
      <c r="C1227" s="37"/>
      <c r="D1227" s="37"/>
      <c r="E1227" s="37"/>
      <c r="F1227" s="46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</row>
    <row r="1228" spans="1:21" ht="15.6">
      <c r="A1228" s="37"/>
      <c r="B1228" s="37"/>
      <c r="C1228" s="37"/>
      <c r="D1228" s="37"/>
      <c r="E1228" s="37"/>
      <c r="F1228" s="46"/>
      <c r="G1228" s="37"/>
      <c r="H1228" s="37"/>
      <c r="I1228" s="37"/>
      <c r="J1228" s="37"/>
      <c r="K1228" s="37"/>
      <c r="L1228" s="37"/>
      <c r="M1228" s="37"/>
      <c r="N1228" s="37"/>
      <c r="O1228" s="37"/>
      <c r="P1228" s="37"/>
      <c r="Q1228" s="37"/>
      <c r="R1228" s="37"/>
      <c r="S1228" s="37"/>
      <c r="T1228" s="37"/>
      <c r="U1228" s="37"/>
    </row>
    <row r="1229" spans="1:21" ht="15.6">
      <c r="A1229" s="37"/>
      <c r="B1229" s="37"/>
      <c r="C1229" s="37"/>
      <c r="D1229" s="37"/>
      <c r="E1229" s="37"/>
      <c r="F1229" s="46"/>
      <c r="G1229" s="37"/>
      <c r="H1229" s="37"/>
      <c r="I1229" s="37"/>
      <c r="J1229" s="37"/>
      <c r="K1229" s="37"/>
      <c r="L1229" s="37"/>
      <c r="M1229" s="37"/>
      <c r="N1229" s="37"/>
      <c r="O1229" s="37"/>
      <c r="P1229" s="37"/>
      <c r="Q1229" s="37"/>
      <c r="R1229" s="37"/>
      <c r="S1229" s="37"/>
      <c r="T1229" s="37"/>
      <c r="U1229" s="37"/>
    </row>
    <row r="1230" spans="1:21" ht="15.6">
      <c r="A1230" s="37"/>
      <c r="B1230" s="37"/>
      <c r="C1230" s="37"/>
      <c r="D1230" s="37"/>
      <c r="E1230" s="37"/>
      <c r="F1230" s="46"/>
      <c r="G1230" s="37"/>
      <c r="H1230" s="37"/>
      <c r="I1230" s="37"/>
      <c r="J1230" s="37"/>
      <c r="K1230" s="37"/>
      <c r="L1230" s="37"/>
      <c r="M1230" s="37"/>
      <c r="N1230" s="37"/>
      <c r="O1230" s="37"/>
      <c r="P1230" s="37"/>
      <c r="Q1230" s="37"/>
      <c r="R1230" s="37"/>
      <c r="S1230" s="37"/>
      <c r="T1230" s="37"/>
      <c r="U1230" s="37"/>
    </row>
    <row r="1231" spans="1:21" ht="15.6">
      <c r="A1231" s="37"/>
      <c r="B1231" s="37"/>
      <c r="C1231" s="37"/>
      <c r="D1231" s="37"/>
      <c r="E1231" s="37"/>
      <c r="F1231" s="46"/>
      <c r="G1231" s="37"/>
      <c r="H1231" s="37"/>
      <c r="I1231" s="37"/>
      <c r="J1231" s="37"/>
      <c r="K1231" s="37"/>
      <c r="L1231" s="37"/>
      <c r="M1231" s="37"/>
      <c r="N1231" s="37"/>
      <c r="O1231" s="37"/>
      <c r="P1231" s="37"/>
      <c r="Q1231" s="37"/>
      <c r="R1231" s="37"/>
      <c r="S1231" s="37"/>
      <c r="T1231" s="37"/>
      <c r="U1231" s="37"/>
    </row>
    <row r="1232" spans="1:21" ht="15.6">
      <c r="A1232" s="37"/>
      <c r="B1232" s="37"/>
      <c r="C1232" s="37"/>
      <c r="D1232" s="37"/>
      <c r="E1232" s="37"/>
      <c r="F1232" s="46"/>
      <c r="G1232" s="37"/>
      <c r="H1232" s="37"/>
      <c r="I1232" s="37"/>
      <c r="J1232" s="37"/>
      <c r="K1232" s="37"/>
      <c r="L1232" s="37"/>
      <c r="M1232" s="37"/>
      <c r="N1232" s="37"/>
      <c r="O1232" s="37"/>
      <c r="P1232" s="37"/>
      <c r="Q1232" s="37"/>
      <c r="R1232" s="37"/>
      <c r="S1232" s="37"/>
      <c r="T1232" s="37"/>
      <c r="U1232" s="37"/>
    </row>
    <row r="1233" spans="1:21" ht="15.6">
      <c r="A1233" s="37"/>
      <c r="B1233" s="37"/>
      <c r="C1233" s="37"/>
      <c r="D1233" s="37"/>
      <c r="E1233" s="37"/>
      <c r="F1233" s="46"/>
      <c r="G1233" s="37"/>
      <c r="H1233" s="37"/>
      <c r="I1233" s="37"/>
      <c r="J1233" s="37"/>
      <c r="K1233" s="37"/>
      <c r="L1233" s="37"/>
      <c r="M1233" s="37"/>
      <c r="N1233" s="37"/>
      <c r="O1233" s="37"/>
      <c r="P1233" s="37"/>
      <c r="Q1233" s="37"/>
      <c r="R1233" s="37"/>
      <c r="S1233" s="37"/>
      <c r="T1233" s="37"/>
      <c r="U1233" s="37"/>
    </row>
    <row r="1234" spans="1:21" ht="15.6">
      <c r="A1234" s="37"/>
      <c r="B1234" s="37"/>
      <c r="C1234" s="37"/>
      <c r="D1234" s="37"/>
      <c r="E1234" s="37"/>
      <c r="F1234" s="46"/>
      <c r="G1234" s="37"/>
      <c r="H1234" s="37"/>
      <c r="I1234" s="37"/>
      <c r="J1234" s="37"/>
      <c r="K1234" s="37"/>
      <c r="L1234" s="37"/>
      <c r="M1234" s="37"/>
      <c r="N1234" s="37"/>
      <c r="O1234" s="37"/>
      <c r="P1234" s="37"/>
      <c r="Q1234" s="37"/>
      <c r="R1234" s="37"/>
      <c r="S1234" s="37"/>
      <c r="T1234" s="37"/>
      <c r="U1234" s="37"/>
    </row>
    <row r="1235" spans="1:21" ht="15.6">
      <c r="A1235" s="37"/>
      <c r="B1235" s="37"/>
      <c r="C1235" s="37"/>
      <c r="D1235" s="37"/>
      <c r="E1235" s="37"/>
      <c r="F1235" s="46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</row>
    <row r="1236" spans="1:21" ht="15.6">
      <c r="A1236" s="37"/>
      <c r="B1236" s="37"/>
      <c r="C1236" s="37"/>
      <c r="D1236" s="37"/>
      <c r="E1236" s="37"/>
      <c r="F1236" s="46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</row>
    <row r="1237" spans="1:21" ht="15.6">
      <c r="A1237" s="37"/>
      <c r="B1237" s="37"/>
      <c r="C1237" s="37"/>
      <c r="D1237" s="37"/>
      <c r="E1237" s="37"/>
      <c r="F1237" s="46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</row>
    <row r="1238" spans="1:21" ht="15.6">
      <c r="A1238" s="37"/>
      <c r="B1238" s="37"/>
      <c r="C1238" s="37"/>
      <c r="D1238" s="37"/>
      <c r="E1238" s="37"/>
      <c r="F1238" s="46"/>
      <c r="G1238" s="37"/>
      <c r="H1238" s="37"/>
      <c r="I1238" s="37"/>
      <c r="J1238" s="37"/>
      <c r="K1238" s="37"/>
      <c r="L1238" s="37"/>
      <c r="M1238" s="37"/>
      <c r="N1238" s="37"/>
      <c r="O1238" s="37"/>
      <c r="P1238" s="37"/>
      <c r="Q1238" s="37"/>
      <c r="R1238" s="37"/>
      <c r="S1238" s="37"/>
      <c r="T1238" s="37"/>
      <c r="U1238" s="37"/>
    </row>
    <row r="1239" spans="1:21" ht="15.6">
      <c r="A1239" s="37"/>
      <c r="B1239" s="37"/>
      <c r="C1239" s="37"/>
      <c r="D1239" s="37"/>
      <c r="E1239" s="37"/>
      <c r="F1239" s="46"/>
      <c r="G1239" s="37"/>
      <c r="H1239" s="37"/>
      <c r="I1239" s="37"/>
      <c r="J1239" s="37"/>
      <c r="K1239" s="37"/>
      <c r="L1239" s="37"/>
      <c r="M1239" s="37"/>
      <c r="N1239" s="37"/>
      <c r="O1239" s="37"/>
      <c r="P1239" s="37"/>
      <c r="Q1239" s="37"/>
      <c r="R1239" s="37"/>
      <c r="S1239" s="37"/>
      <c r="T1239" s="37"/>
      <c r="U1239" s="37"/>
    </row>
    <row r="1240" spans="1:21" ht="15.6">
      <c r="A1240" s="37"/>
      <c r="B1240" s="37"/>
      <c r="C1240" s="37"/>
      <c r="D1240" s="37"/>
      <c r="E1240" s="37"/>
      <c r="F1240" s="46"/>
      <c r="G1240" s="37"/>
      <c r="H1240" s="37"/>
      <c r="I1240" s="37"/>
      <c r="J1240" s="37"/>
      <c r="K1240" s="37"/>
      <c r="L1240" s="37"/>
      <c r="M1240" s="37"/>
      <c r="N1240" s="37"/>
      <c r="O1240" s="37"/>
      <c r="P1240" s="37"/>
      <c r="Q1240" s="37"/>
      <c r="R1240" s="37"/>
      <c r="S1240" s="37"/>
      <c r="T1240" s="37"/>
      <c r="U1240" s="37"/>
    </row>
    <row r="1241" spans="1:21" ht="15.6">
      <c r="A1241" s="37"/>
      <c r="B1241" s="37"/>
      <c r="C1241" s="37"/>
      <c r="D1241" s="37"/>
      <c r="E1241" s="37"/>
      <c r="F1241" s="46"/>
      <c r="G1241" s="37"/>
      <c r="H1241" s="37"/>
      <c r="I1241" s="37"/>
      <c r="J1241" s="37"/>
      <c r="K1241" s="37"/>
      <c r="L1241" s="37"/>
      <c r="M1241" s="37"/>
      <c r="N1241" s="37"/>
      <c r="O1241" s="37"/>
      <c r="P1241" s="37"/>
      <c r="Q1241" s="37"/>
      <c r="R1241" s="37"/>
      <c r="S1241" s="37"/>
      <c r="T1241" s="37"/>
      <c r="U1241" s="37"/>
    </row>
    <row r="1242" spans="1:21" ht="15.6">
      <c r="A1242" s="37"/>
      <c r="B1242" s="37"/>
      <c r="C1242" s="37"/>
      <c r="D1242" s="37"/>
      <c r="E1242" s="37"/>
      <c r="F1242" s="46"/>
      <c r="G1242" s="37"/>
      <c r="H1242" s="37"/>
      <c r="I1242" s="37"/>
      <c r="J1242" s="37"/>
      <c r="K1242" s="37"/>
      <c r="L1242" s="37"/>
      <c r="M1242" s="37"/>
      <c r="N1242" s="37"/>
      <c r="O1242" s="37"/>
      <c r="P1242" s="37"/>
      <c r="Q1242" s="37"/>
      <c r="R1242" s="37"/>
      <c r="S1242" s="37"/>
      <c r="T1242" s="37"/>
      <c r="U1242" s="37"/>
    </row>
    <row r="1243" spans="1:21" ht="15.6">
      <c r="A1243" s="37"/>
      <c r="B1243" s="37"/>
      <c r="C1243" s="37"/>
      <c r="D1243" s="37"/>
      <c r="E1243" s="37"/>
      <c r="F1243" s="46"/>
      <c r="G1243" s="37"/>
      <c r="H1243" s="37"/>
      <c r="I1243" s="37"/>
      <c r="J1243" s="37"/>
      <c r="K1243" s="37"/>
      <c r="L1243" s="37"/>
      <c r="M1243" s="37"/>
      <c r="N1243" s="37"/>
      <c r="O1243" s="37"/>
      <c r="P1243" s="37"/>
      <c r="Q1243" s="37"/>
      <c r="R1243" s="37"/>
      <c r="S1243" s="37"/>
      <c r="T1243" s="37"/>
      <c r="U1243" s="37"/>
    </row>
    <row r="1244" spans="1:21" ht="15.6">
      <c r="A1244" s="37"/>
      <c r="B1244" s="37"/>
      <c r="C1244" s="37"/>
      <c r="D1244" s="37"/>
      <c r="E1244" s="37"/>
      <c r="F1244" s="46"/>
      <c r="G1244" s="37"/>
      <c r="H1244" s="37"/>
      <c r="I1244" s="37"/>
      <c r="J1244" s="37"/>
      <c r="K1244" s="37"/>
      <c r="L1244" s="37"/>
      <c r="M1244" s="37"/>
      <c r="N1244" s="37"/>
      <c r="O1244" s="37"/>
      <c r="P1244" s="37"/>
      <c r="Q1244" s="37"/>
      <c r="R1244" s="37"/>
      <c r="S1244" s="37"/>
      <c r="T1244" s="37"/>
      <c r="U1244" s="37"/>
    </row>
    <row r="1245" spans="1:21" ht="15.6">
      <c r="A1245" s="37"/>
      <c r="B1245" s="37"/>
      <c r="C1245" s="37"/>
      <c r="D1245" s="37"/>
      <c r="E1245" s="37"/>
      <c r="F1245" s="46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</row>
    <row r="1246" spans="1:21" ht="15.6">
      <c r="A1246" s="37"/>
      <c r="B1246" s="37"/>
      <c r="C1246" s="37"/>
      <c r="D1246" s="37"/>
      <c r="E1246" s="37"/>
      <c r="F1246" s="46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</row>
    <row r="1247" spans="1:21" ht="15.6">
      <c r="A1247" s="37"/>
      <c r="B1247" s="37"/>
      <c r="C1247" s="37"/>
      <c r="D1247" s="37"/>
      <c r="E1247" s="37"/>
      <c r="F1247" s="46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</row>
    <row r="1248" spans="1:21" ht="15.6">
      <c r="A1248" s="37"/>
      <c r="B1248" s="37"/>
      <c r="C1248" s="37"/>
      <c r="D1248" s="37"/>
      <c r="E1248" s="37"/>
      <c r="F1248" s="46"/>
      <c r="G1248" s="37"/>
      <c r="H1248" s="37"/>
      <c r="I1248" s="37"/>
      <c r="J1248" s="37"/>
      <c r="K1248" s="37"/>
      <c r="L1248" s="37"/>
      <c r="M1248" s="37"/>
      <c r="N1248" s="37"/>
      <c r="O1248" s="37"/>
      <c r="P1248" s="37"/>
      <c r="Q1248" s="37"/>
      <c r="R1248" s="37"/>
      <c r="S1248" s="37"/>
      <c r="T1248" s="37"/>
      <c r="U1248" s="37"/>
    </row>
    <row r="1249" spans="1:21" ht="15.6">
      <c r="A1249" s="37"/>
      <c r="B1249" s="37"/>
      <c r="C1249" s="37"/>
      <c r="D1249" s="37"/>
      <c r="E1249" s="37"/>
      <c r="F1249" s="46"/>
      <c r="G1249" s="37"/>
      <c r="H1249" s="37"/>
      <c r="I1249" s="37"/>
      <c r="J1249" s="37"/>
      <c r="K1249" s="37"/>
      <c r="L1249" s="37"/>
      <c r="M1249" s="37"/>
      <c r="N1249" s="37"/>
      <c r="O1249" s="37"/>
      <c r="P1249" s="37"/>
      <c r="Q1249" s="37"/>
      <c r="R1249" s="37"/>
      <c r="S1249" s="37"/>
      <c r="T1249" s="37"/>
      <c r="U1249" s="37"/>
    </row>
    <row r="1250" spans="1:21" ht="15.6">
      <c r="A1250" s="37"/>
      <c r="B1250" s="37"/>
      <c r="C1250" s="37"/>
      <c r="D1250" s="37"/>
      <c r="E1250" s="37"/>
      <c r="F1250" s="46"/>
      <c r="G1250" s="37"/>
      <c r="H1250" s="37"/>
      <c r="I1250" s="37"/>
      <c r="J1250" s="37"/>
      <c r="K1250" s="37"/>
      <c r="L1250" s="37"/>
      <c r="M1250" s="37"/>
      <c r="N1250" s="37"/>
      <c r="O1250" s="37"/>
      <c r="P1250" s="37"/>
      <c r="Q1250" s="37"/>
      <c r="R1250" s="37"/>
      <c r="S1250" s="37"/>
      <c r="T1250" s="37"/>
      <c r="U1250" s="37"/>
    </row>
    <row r="1251" spans="1:21" ht="15.6">
      <c r="A1251" s="37"/>
      <c r="B1251" s="37"/>
      <c r="C1251" s="37"/>
      <c r="D1251" s="37"/>
      <c r="E1251" s="37"/>
      <c r="F1251" s="46"/>
      <c r="G1251" s="37"/>
      <c r="H1251" s="37"/>
      <c r="I1251" s="37"/>
      <c r="J1251" s="37"/>
      <c r="K1251" s="37"/>
      <c r="L1251" s="37"/>
      <c r="M1251" s="37"/>
      <c r="N1251" s="37"/>
      <c r="O1251" s="37"/>
      <c r="P1251" s="37"/>
      <c r="Q1251" s="37"/>
      <c r="R1251" s="37"/>
      <c r="S1251" s="37"/>
      <c r="T1251" s="37"/>
      <c r="U1251" s="37"/>
    </row>
    <row r="1252" spans="1:21" ht="15.6">
      <c r="A1252" s="37"/>
      <c r="B1252" s="37"/>
      <c r="C1252" s="37"/>
      <c r="D1252" s="37"/>
      <c r="E1252" s="37"/>
      <c r="F1252" s="46"/>
      <c r="G1252" s="37"/>
      <c r="H1252" s="37"/>
      <c r="I1252" s="37"/>
      <c r="J1252" s="37"/>
      <c r="K1252" s="37"/>
      <c r="L1252" s="37"/>
      <c r="M1252" s="37"/>
      <c r="N1252" s="37"/>
      <c r="O1252" s="37"/>
      <c r="P1252" s="37"/>
      <c r="Q1252" s="37"/>
      <c r="R1252" s="37"/>
      <c r="S1252" s="37"/>
      <c r="T1252" s="37"/>
      <c r="U1252" s="37"/>
    </row>
    <row r="1253" spans="1:21" ht="15.6">
      <c r="A1253" s="37"/>
      <c r="B1253" s="37"/>
      <c r="C1253" s="37"/>
      <c r="D1253" s="37"/>
      <c r="E1253" s="37"/>
      <c r="F1253" s="46"/>
      <c r="G1253" s="37"/>
      <c r="H1253" s="37"/>
      <c r="I1253" s="37"/>
      <c r="J1253" s="37"/>
      <c r="K1253" s="37"/>
      <c r="L1253" s="37"/>
      <c r="M1253" s="37"/>
      <c r="N1253" s="37"/>
      <c r="O1253" s="37"/>
      <c r="P1253" s="37"/>
      <c r="Q1253" s="37"/>
      <c r="R1253" s="37"/>
      <c r="S1253" s="37"/>
      <c r="T1253" s="37"/>
      <c r="U1253" s="37"/>
    </row>
    <row r="1254" spans="1:21" ht="15.6">
      <c r="A1254" s="37"/>
      <c r="B1254" s="37"/>
      <c r="C1254" s="37"/>
      <c r="D1254" s="37"/>
      <c r="E1254" s="37"/>
      <c r="F1254" s="46"/>
      <c r="G1254" s="37"/>
      <c r="H1254" s="37"/>
      <c r="I1254" s="37"/>
      <c r="J1254" s="37"/>
      <c r="K1254" s="37"/>
      <c r="L1254" s="37"/>
      <c r="M1254" s="37"/>
      <c r="N1254" s="37"/>
      <c r="O1254" s="37"/>
      <c r="P1254" s="37"/>
      <c r="Q1254" s="37"/>
      <c r="R1254" s="37"/>
      <c r="S1254" s="37"/>
      <c r="T1254" s="37"/>
      <c r="U1254" s="37"/>
    </row>
    <row r="1255" spans="1:21" ht="15.6">
      <c r="A1255" s="37"/>
      <c r="B1255" s="37"/>
      <c r="C1255" s="37"/>
      <c r="D1255" s="37"/>
      <c r="E1255" s="37"/>
      <c r="F1255" s="46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</row>
    <row r="1256" spans="1:21" ht="15.6">
      <c r="A1256" s="37"/>
      <c r="B1256" s="37"/>
      <c r="C1256" s="37"/>
      <c r="D1256" s="37"/>
      <c r="E1256" s="37"/>
      <c r="F1256" s="46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</row>
    <row r="1257" spans="1:21" ht="15.6">
      <c r="A1257" s="37"/>
      <c r="B1257" s="37"/>
      <c r="C1257" s="37"/>
      <c r="D1257" s="37"/>
      <c r="E1257" s="37"/>
      <c r="F1257" s="46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</row>
    <row r="1258" spans="1:21" ht="15.6">
      <c r="A1258" s="37"/>
      <c r="B1258" s="37"/>
      <c r="C1258" s="37"/>
      <c r="D1258" s="37"/>
      <c r="E1258" s="37"/>
      <c r="F1258" s="46"/>
      <c r="G1258" s="37"/>
      <c r="H1258" s="37"/>
      <c r="I1258" s="37"/>
      <c r="J1258" s="37"/>
      <c r="K1258" s="37"/>
      <c r="L1258" s="37"/>
      <c r="M1258" s="37"/>
      <c r="N1258" s="37"/>
      <c r="O1258" s="37"/>
      <c r="P1258" s="37"/>
      <c r="Q1258" s="37"/>
      <c r="R1258" s="37"/>
      <c r="S1258" s="37"/>
      <c r="T1258" s="37"/>
      <c r="U1258" s="37"/>
    </row>
    <row r="1259" spans="1:21" ht="15.6">
      <c r="A1259" s="37"/>
      <c r="B1259" s="37"/>
      <c r="C1259" s="37"/>
      <c r="D1259" s="37"/>
      <c r="E1259" s="37"/>
      <c r="F1259" s="46"/>
      <c r="G1259" s="37"/>
      <c r="H1259" s="37"/>
      <c r="I1259" s="37"/>
      <c r="J1259" s="37"/>
      <c r="K1259" s="37"/>
      <c r="L1259" s="37"/>
      <c r="M1259" s="37"/>
      <c r="N1259" s="37"/>
      <c r="O1259" s="37"/>
      <c r="P1259" s="37"/>
      <c r="Q1259" s="37"/>
      <c r="R1259" s="37"/>
      <c r="S1259" s="37"/>
      <c r="T1259" s="37"/>
      <c r="U1259" s="37"/>
    </row>
    <row r="1260" spans="1:21" ht="15.6">
      <c r="A1260" s="37"/>
      <c r="B1260" s="37"/>
      <c r="C1260" s="37"/>
      <c r="D1260" s="37"/>
      <c r="E1260" s="37"/>
      <c r="F1260" s="46"/>
      <c r="G1260" s="37"/>
      <c r="H1260" s="37"/>
      <c r="I1260" s="37"/>
      <c r="J1260" s="37"/>
      <c r="K1260" s="37"/>
      <c r="L1260" s="37"/>
      <c r="M1260" s="37"/>
      <c r="N1260" s="37"/>
      <c r="O1260" s="37"/>
      <c r="P1260" s="37"/>
      <c r="Q1260" s="37"/>
      <c r="R1260" s="37"/>
      <c r="S1260" s="37"/>
      <c r="T1260" s="37"/>
      <c r="U1260" s="37"/>
    </row>
    <row r="1261" spans="1:21" ht="15.6">
      <c r="A1261" s="37"/>
      <c r="B1261" s="37"/>
      <c r="C1261" s="37"/>
      <c r="D1261" s="37"/>
      <c r="E1261" s="37"/>
      <c r="F1261" s="46"/>
      <c r="G1261" s="37"/>
      <c r="H1261" s="37"/>
      <c r="I1261" s="37"/>
      <c r="J1261" s="37"/>
      <c r="K1261" s="37"/>
      <c r="L1261" s="37"/>
      <c r="M1261" s="37"/>
      <c r="N1261" s="37"/>
      <c r="O1261" s="37"/>
      <c r="P1261" s="37"/>
      <c r="Q1261" s="37"/>
      <c r="R1261" s="37"/>
      <c r="S1261" s="37"/>
      <c r="T1261" s="37"/>
      <c r="U1261" s="37"/>
    </row>
    <row r="1262" spans="1:21" ht="15.6">
      <c r="A1262" s="37"/>
      <c r="B1262" s="37"/>
      <c r="C1262" s="37"/>
      <c r="D1262" s="37"/>
      <c r="E1262" s="37"/>
      <c r="F1262" s="46"/>
      <c r="G1262" s="37"/>
      <c r="H1262" s="37"/>
      <c r="I1262" s="37"/>
      <c r="J1262" s="37"/>
      <c r="K1262" s="37"/>
      <c r="L1262" s="37"/>
      <c r="M1262" s="37"/>
      <c r="N1262" s="37"/>
      <c r="O1262" s="37"/>
      <c r="P1262" s="37"/>
      <c r="Q1262" s="37"/>
      <c r="R1262" s="37"/>
      <c r="S1262" s="37"/>
      <c r="T1262" s="37"/>
      <c r="U1262" s="37"/>
    </row>
    <row r="1263" spans="1:21" ht="15.6">
      <c r="A1263" s="37"/>
      <c r="B1263" s="37"/>
      <c r="C1263" s="37"/>
      <c r="D1263" s="37"/>
      <c r="E1263" s="37"/>
      <c r="F1263" s="46"/>
      <c r="G1263" s="37"/>
      <c r="H1263" s="37"/>
      <c r="I1263" s="37"/>
      <c r="J1263" s="37"/>
      <c r="K1263" s="37"/>
      <c r="L1263" s="37"/>
      <c r="M1263" s="37"/>
      <c r="N1263" s="37"/>
      <c r="O1263" s="37"/>
      <c r="P1263" s="37"/>
      <c r="Q1263" s="37"/>
      <c r="R1263" s="37"/>
      <c r="S1263" s="37"/>
      <c r="T1263" s="37"/>
      <c r="U1263" s="37"/>
    </row>
    <row r="1264" spans="1:21" ht="15.6">
      <c r="A1264" s="37"/>
      <c r="B1264" s="37"/>
      <c r="C1264" s="37"/>
      <c r="D1264" s="37"/>
      <c r="E1264" s="37"/>
      <c r="F1264" s="46"/>
      <c r="G1264" s="37"/>
      <c r="H1264" s="37"/>
      <c r="I1264" s="37"/>
      <c r="J1264" s="37"/>
      <c r="K1264" s="37"/>
      <c r="L1264" s="37"/>
      <c r="M1264" s="37"/>
      <c r="N1264" s="37"/>
      <c r="O1264" s="37"/>
      <c r="P1264" s="37"/>
      <c r="Q1264" s="37"/>
      <c r="R1264" s="37"/>
      <c r="S1264" s="37"/>
      <c r="T1264" s="37"/>
      <c r="U1264" s="37"/>
    </row>
    <row r="1265" spans="1:21" ht="15.6">
      <c r="A1265" s="37"/>
      <c r="B1265" s="37"/>
      <c r="C1265" s="37"/>
      <c r="D1265" s="37"/>
      <c r="E1265" s="37"/>
      <c r="F1265" s="46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</row>
    <row r="1266" spans="1:21" ht="15.6">
      <c r="A1266" s="37"/>
      <c r="B1266" s="37"/>
      <c r="C1266" s="37"/>
      <c r="D1266" s="37"/>
      <c r="E1266" s="37"/>
      <c r="F1266" s="46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</row>
    <row r="1267" spans="1:21" ht="15.6">
      <c r="A1267" s="37"/>
      <c r="B1267" s="37"/>
      <c r="C1267" s="37"/>
      <c r="D1267" s="37"/>
      <c r="E1267" s="37"/>
      <c r="F1267" s="46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</row>
    <row r="1268" spans="1:21" ht="15.6">
      <c r="A1268" s="37"/>
      <c r="B1268" s="37"/>
      <c r="C1268" s="37"/>
      <c r="D1268" s="37"/>
      <c r="E1268" s="37"/>
      <c r="F1268" s="46"/>
      <c r="G1268" s="37"/>
      <c r="H1268" s="37"/>
      <c r="I1268" s="37"/>
      <c r="J1268" s="37"/>
      <c r="K1268" s="37"/>
      <c r="L1268" s="37"/>
      <c r="M1268" s="37"/>
      <c r="N1268" s="37"/>
      <c r="O1268" s="37"/>
      <c r="P1268" s="37"/>
      <c r="Q1268" s="37"/>
      <c r="R1268" s="37"/>
      <c r="S1268" s="37"/>
      <c r="T1268" s="37"/>
      <c r="U1268" s="37"/>
    </row>
    <row r="1269" spans="1:21" ht="15.6">
      <c r="A1269" s="37"/>
      <c r="B1269" s="37"/>
      <c r="C1269" s="37"/>
      <c r="D1269" s="37"/>
      <c r="E1269" s="37"/>
      <c r="F1269" s="46"/>
      <c r="G1269" s="37"/>
      <c r="H1269" s="37"/>
      <c r="I1269" s="37"/>
      <c r="J1269" s="37"/>
      <c r="K1269" s="37"/>
      <c r="L1269" s="37"/>
      <c r="M1269" s="37"/>
      <c r="N1269" s="37"/>
      <c r="O1269" s="37"/>
      <c r="P1269" s="37"/>
      <c r="Q1269" s="37"/>
      <c r="R1269" s="37"/>
      <c r="S1269" s="37"/>
      <c r="T1269" s="37"/>
      <c r="U1269" s="37"/>
    </row>
    <row r="1270" spans="1:21" ht="15.6">
      <c r="A1270" s="37"/>
      <c r="B1270" s="37"/>
      <c r="C1270" s="37"/>
      <c r="D1270" s="37"/>
      <c r="E1270" s="37"/>
      <c r="F1270" s="46"/>
      <c r="G1270" s="37"/>
      <c r="H1270" s="37"/>
      <c r="I1270" s="37"/>
      <c r="J1270" s="37"/>
      <c r="K1270" s="37"/>
      <c r="L1270" s="37"/>
      <c r="M1270" s="37"/>
      <c r="N1270" s="37"/>
      <c r="O1270" s="37"/>
      <c r="P1270" s="37"/>
      <c r="Q1270" s="37"/>
      <c r="R1270" s="37"/>
      <c r="S1270" s="37"/>
      <c r="T1270" s="37"/>
      <c r="U1270" s="37"/>
    </row>
    <row r="1271" spans="1:21" ht="15.6">
      <c r="A1271" s="37"/>
      <c r="B1271" s="37"/>
      <c r="C1271" s="37"/>
      <c r="D1271" s="37"/>
      <c r="E1271" s="37"/>
      <c r="F1271" s="46"/>
      <c r="G1271" s="37"/>
      <c r="H1271" s="37"/>
      <c r="I1271" s="37"/>
      <c r="J1271" s="37"/>
      <c r="K1271" s="37"/>
      <c r="L1271" s="37"/>
      <c r="M1271" s="37"/>
      <c r="N1271" s="37"/>
      <c r="O1271" s="37"/>
      <c r="P1271" s="37"/>
      <c r="Q1271" s="37"/>
      <c r="R1271" s="37"/>
      <c r="S1271" s="37"/>
      <c r="T1271" s="37"/>
      <c r="U1271" s="37"/>
    </row>
    <row r="1272" spans="1:21" ht="15.6">
      <c r="A1272" s="37"/>
      <c r="B1272" s="37"/>
      <c r="C1272" s="37"/>
      <c r="D1272" s="37"/>
      <c r="E1272" s="37"/>
      <c r="F1272" s="46"/>
      <c r="G1272" s="37"/>
      <c r="H1272" s="37"/>
      <c r="I1272" s="37"/>
      <c r="J1272" s="37"/>
      <c r="K1272" s="37"/>
      <c r="L1272" s="37"/>
      <c r="M1272" s="37"/>
      <c r="N1272" s="37"/>
      <c r="O1272" s="37"/>
      <c r="P1272" s="37"/>
      <c r="Q1272" s="37"/>
      <c r="R1272" s="37"/>
      <c r="S1272" s="37"/>
      <c r="T1272" s="37"/>
      <c r="U1272" s="37"/>
    </row>
    <row r="1273" spans="1:21" ht="15.6">
      <c r="A1273" s="37"/>
      <c r="B1273" s="37"/>
      <c r="C1273" s="37"/>
      <c r="D1273" s="37"/>
      <c r="E1273" s="37"/>
      <c r="F1273" s="46"/>
      <c r="G1273" s="37"/>
      <c r="H1273" s="37"/>
      <c r="I1273" s="37"/>
      <c r="J1273" s="37"/>
      <c r="K1273" s="37"/>
      <c r="L1273" s="37"/>
      <c r="M1273" s="37"/>
      <c r="N1273" s="37"/>
      <c r="O1273" s="37"/>
      <c r="P1273" s="37"/>
      <c r="Q1273" s="37"/>
      <c r="R1273" s="37"/>
      <c r="S1273" s="37"/>
      <c r="T1273" s="37"/>
      <c r="U1273" s="37"/>
    </row>
    <row r="1274" spans="1:21" ht="15.6">
      <c r="A1274" s="37"/>
      <c r="B1274" s="37"/>
      <c r="C1274" s="37"/>
      <c r="D1274" s="37"/>
      <c r="E1274" s="37"/>
      <c r="F1274" s="46"/>
      <c r="G1274" s="37"/>
      <c r="H1274" s="37"/>
      <c r="I1274" s="37"/>
      <c r="J1274" s="37"/>
      <c r="K1274" s="37"/>
      <c r="L1274" s="37"/>
      <c r="M1274" s="37"/>
      <c r="N1274" s="37"/>
      <c r="O1274" s="37"/>
      <c r="P1274" s="37"/>
      <c r="Q1274" s="37"/>
      <c r="R1274" s="37"/>
      <c r="S1274" s="37"/>
      <c r="T1274" s="37"/>
      <c r="U1274" s="37"/>
    </row>
    <row r="1275" spans="1:21" ht="15.6">
      <c r="A1275" s="37"/>
      <c r="B1275" s="37"/>
      <c r="C1275" s="37"/>
      <c r="D1275" s="37"/>
      <c r="E1275" s="37"/>
      <c r="F1275" s="46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</row>
    <row r="1276" spans="1:21" ht="15.6">
      <c r="A1276" s="37"/>
      <c r="B1276" s="37"/>
      <c r="C1276" s="37"/>
      <c r="D1276" s="37"/>
      <c r="E1276" s="37"/>
      <c r="F1276" s="46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</row>
    <row r="1277" spans="1:21" ht="15.6">
      <c r="A1277" s="37"/>
      <c r="B1277" s="37"/>
      <c r="C1277" s="37"/>
      <c r="D1277" s="37"/>
      <c r="E1277" s="37"/>
      <c r="F1277" s="46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</row>
    <row r="1278" spans="1:21" ht="15.6">
      <c r="A1278" s="37"/>
      <c r="B1278" s="37"/>
      <c r="C1278" s="37"/>
      <c r="D1278" s="37"/>
      <c r="E1278" s="37"/>
      <c r="F1278" s="46"/>
      <c r="G1278" s="37"/>
      <c r="H1278" s="37"/>
      <c r="I1278" s="37"/>
      <c r="J1278" s="37"/>
      <c r="K1278" s="37"/>
      <c r="L1278" s="37"/>
      <c r="M1278" s="37"/>
      <c r="N1278" s="37"/>
      <c r="O1278" s="37"/>
      <c r="P1278" s="37"/>
      <c r="Q1278" s="37"/>
      <c r="R1278" s="37"/>
      <c r="S1278" s="37"/>
      <c r="T1278" s="37"/>
      <c r="U1278" s="37"/>
    </row>
    <row r="1279" spans="1:21" ht="15.6">
      <c r="A1279" s="37"/>
      <c r="B1279" s="37"/>
      <c r="C1279" s="37"/>
      <c r="D1279" s="37"/>
      <c r="E1279" s="37"/>
      <c r="F1279" s="46"/>
      <c r="G1279" s="37"/>
      <c r="H1279" s="37"/>
      <c r="I1279" s="37"/>
      <c r="J1279" s="37"/>
      <c r="K1279" s="37"/>
      <c r="L1279" s="37"/>
      <c r="M1279" s="37"/>
      <c r="N1279" s="37"/>
      <c r="O1279" s="37"/>
      <c r="P1279" s="37"/>
      <c r="Q1279" s="37"/>
      <c r="R1279" s="37"/>
      <c r="S1279" s="37"/>
      <c r="T1279" s="37"/>
      <c r="U1279" s="37"/>
    </row>
    <row r="1280" spans="1:21" ht="15.6">
      <c r="A1280" s="37"/>
      <c r="B1280" s="37"/>
      <c r="C1280" s="37"/>
      <c r="D1280" s="37"/>
      <c r="E1280" s="37"/>
      <c r="F1280" s="46"/>
      <c r="G1280" s="37"/>
      <c r="H1280" s="37"/>
      <c r="I1280" s="37"/>
      <c r="J1280" s="37"/>
      <c r="K1280" s="37"/>
      <c r="L1280" s="37"/>
      <c r="M1280" s="37"/>
      <c r="N1280" s="37"/>
      <c r="O1280" s="37"/>
      <c r="P1280" s="37"/>
      <c r="Q1280" s="37"/>
      <c r="R1280" s="37"/>
      <c r="S1280" s="37"/>
      <c r="T1280" s="37"/>
      <c r="U1280" s="37"/>
    </row>
    <row r="1281" spans="1:21" ht="15.6">
      <c r="A1281" s="37"/>
      <c r="B1281" s="37"/>
      <c r="C1281" s="37"/>
      <c r="D1281" s="37"/>
      <c r="E1281" s="37"/>
      <c r="F1281" s="46"/>
      <c r="G1281" s="37"/>
      <c r="H1281" s="37"/>
      <c r="I1281" s="37"/>
      <c r="J1281" s="37"/>
      <c r="K1281" s="37"/>
      <c r="L1281" s="37"/>
      <c r="M1281" s="37"/>
      <c r="N1281" s="37"/>
      <c r="O1281" s="37"/>
      <c r="P1281" s="37"/>
      <c r="Q1281" s="37"/>
      <c r="R1281" s="37"/>
      <c r="S1281" s="37"/>
      <c r="T1281" s="37"/>
      <c r="U1281" s="37"/>
    </row>
    <row r="1282" spans="1:21" ht="15.6">
      <c r="A1282" s="37"/>
      <c r="B1282" s="37"/>
      <c r="C1282" s="37"/>
      <c r="D1282" s="37"/>
      <c r="E1282" s="37"/>
      <c r="F1282" s="46"/>
      <c r="G1282" s="37"/>
      <c r="H1282" s="37"/>
      <c r="I1282" s="37"/>
      <c r="J1282" s="37"/>
      <c r="K1282" s="37"/>
      <c r="L1282" s="37"/>
      <c r="M1282" s="37"/>
      <c r="N1282" s="37"/>
      <c r="O1282" s="37"/>
      <c r="P1282" s="37"/>
      <c r="Q1282" s="37"/>
      <c r="R1282" s="37"/>
      <c r="S1282" s="37"/>
      <c r="T1282" s="37"/>
      <c r="U1282" s="37"/>
    </row>
    <row r="1283" spans="1:21" ht="15.6">
      <c r="A1283" s="37"/>
      <c r="B1283" s="37"/>
      <c r="C1283" s="37"/>
      <c r="D1283" s="37"/>
      <c r="E1283" s="37"/>
      <c r="F1283" s="46"/>
      <c r="G1283" s="37"/>
      <c r="H1283" s="37"/>
      <c r="I1283" s="37"/>
      <c r="J1283" s="37"/>
      <c r="K1283" s="37"/>
      <c r="L1283" s="37"/>
      <c r="M1283" s="37"/>
      <c r="N1283" s="37"/>
      <c r="O1283" s="37"/>
      <c r="P1283" s="37"/>
      <c r="Q1283" s="37"/>
      <c r="R1283" s="37"/>
      <c r="S1283" s="37"/>
      <c r="T1283" s="37"/>
      <c r="U1283" s="37"/>
    </row>
    <row r="1284" spans="1:21" ht="15.6">
      <c r="A1284" s="37"/>
      <c r="B1284" s="37"/>
      <c r="C1284" s="37"/>
      <c r="D1284" s="37"/>
      <c r="E1284" s="37"/>
      <c r="F1284" s="46"/>
      <c r="G1284" s="37"/>
      <c r="H1284" s="37"/>
      <c r="I1284" s="37"/>
      <c r="J1284" s="37"/>
      <c r="K1284" s="37"/>
      <c r="L1284" s="37"/>
      <c r="M1284" s="37"/>
      <c r="N1284" s="37"/>
      <c r="O1284" s="37"/>
      <c r="P1284" s="37"/>
      <c r="Q1284" s="37"/>
      <c r="R1284" s="37"/>
      <c r="S1284" s="37"/>
      <c r="T1284" s="37"/>
      <c r="U1284" s="37"/>
    </row>
    <row r="1285" spans="1:21" ht="15.6">
      <c r="A1285" s="37"/>
      <c r="B1285" s="37"/>
      <c r="C1285" s="37"/>
      <c r="D1285" s="37"/>
      <c r="E1285" s="37"/>
      <c r="F1285" s="46"/>
      <c r="G1285" s="37"/>
      <c r="H1285" s="37"/>
      <c r="I1285" s="37"/>
      <c r="J1285" s="37"/>
      <c r="K1285" s="37"/>
      <c r="L1285" s="37"/>
      <c r="M1285" s="37"/>
      <c r="N1285" s="37"/>
      <c r="O1285" s="37"/>
      <c r="P1285" s="37"/>
      <c r="Q1285" s="37"/>
      <c r="R1285" s="37"/>
      <c r="S1285" s="37"/>
      <c r="T1285" s="37"/>
      <c r="U1285" s="37"/>
    </row>
    <row r="1286" spans="1:21" ht="15.6">
      <c r="A1286" s="37"/>
      <c r="B1286" s="37"/>
      <c r="C1286" s="37"/>
      <c r="D1286" s="37"/>
      <c r="E1286" s="37"/>
      <c r="F1286" s="46"/>
      <c r="G1286" s="37"/>
      <c r="H1286" s="37"/>
      <c r="I1286" s="37"/>
      <c r="J1286" s="37"/>
      <c r="K1286" s="37"/>
      <c r="L1286" s="37"/>
      <c r="M1286" s="37"/>
      <c r="N1286" s="37"/>
      <c r="O1286" s="37"/>
      <c r="P1286" s="37"/>
      <c r="Q1286" s="37"/>
      <c r="R1286" s="37"/>
      <c r="S1286" s="37"/>
      <c r="T1286" s="37"/>
      <c r="U1286" s="37"/>
    </row>
    <row r="1287" spans="1:21" ht="15.6">
      <c r="A1287" s="37"/>
      <c r="B1287" s="37"/>
      <c r="C1287" s="37"/>
      <c r="D1287" s="37"/>
      <c r="E1287" s="37"/>
      <c r="F1287" s="46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  <c r="Q1287" s="37"/>
      <c r="R1287" s="37"/>
      <c r="S1287" s="37"/>
      <c r="T1287" s="37"/>
      <c r="U1287" s="37"/>
    </row>
    <row r="1288" spans="1:21" ht="15.6">
      <c r="A1288" s="37"/>
      <c r="B1288" s="37"/>
      <c r="C1288" s="37"/>
      <c r="D1288" s="37"/>
      <c r="E1288" s="37"/>
      <c r="F1288" s="46"/>
      <c r="G1288" s="37"/>
      <c r="H1288" s="37"/>
      <c r="I1288" s="37"/>
      <c r="J1288" s="37"/>
      <c r="K1288" s="37"/>
      <c r="L1288" s="37"/>
      <c r="M1288" s="37"/>
      <c r="N1288" s="37"/>
      <c r="O1288" s="37"/>
      <c r="P1288" s="37"/>
      <c r="Q1288" s="37"/>
      <c r="R1288" s="37"/>
      <c r="S1288" s="37"/>
      <c r="T1288" s="37"/>
      <c r="U1288" s="37"/>
    </row>
    <row r="1289" spans="1:21" ht="15.6">
      <c r="A1289" s="37"/>
      <c r="B1289" s="37"/>
      <c r="C1289" s="37"/>
      <c r="D1289" s="37"/>
      <c r="E1289" s="37"/>
      <c r="F1289" s="46"/>
      <c r="G1289" s="37"/>
      <c r="H1289" s="37"/>
      <c r="I1289" s="37"/>
      <c r="J1289" s="37"/>
      <c r="K1289" s="37"/>
      <c r="L1289" s="37"/>
      <c r="M1289" s="37"/>
      <c r="N1289" s="37"/>
      <c r="O1289" s="37"/>
      <c r="P1289" s="37"/>
      <c r="Q1289" s="37"/>
      <c r="R1289" s="37"/>
      <c r="S1289" s="37"/>
      <c r="T1289" s="37"/>
      <c r="U1289" s="37"/>
    </row>
    <row r="1290" spans="1:21" ht="15.6">
      <c r="A1290" s="37"/>
      <c r="B1290" s="37"/>
      <c r="C1290" s="37"/>
      <c r="D1290" s="37"/>
      <c r="E1290" s="37"/>
      <c r="F1290" s="46"/>
      <c r="G1290" s="37"/>
      <c r="H1290" s="37"/>
      <c r="I1290" s="37"/>
      <c r="J1290" s="37"/>
      <c r="K1290" s="37"/>
      <c r="L1290" s="37"/>
      <c r="M1290" s="37"/>
      <c r="N1290" s="37"/>
      <c r="O1290" s="37"/>
      <c r="P1290" s="37"/>
      <c r="Q1290" s="37"/>
      <c r="R1290" s="37"/>
      <c r="S1290" s="37"/>
      <c r="T1290" s="37"/>
      <c r="U1290" s="37"/>
    </row>
    <row r="1291" spans="1:21" ht="15.6">
      <c r="A1291" s="37"/>
      <c r="B1291" s="37"/>
      <c r="C1291" s="37"/>
      <c r="D1291" s="37"/>
      <c r="E1291" s="37"/>
      <c r="F1291" s="46"/>
      <c r="G1291" s="37"/>
      <c r="H1291" s="37"/>
      <c r="I1291" s="37"/>
      <c r="J1291" s="37"/>
      <c r="K1291" s="37"/>
      <c r="L1291" s="37"/>
      <c r="M1291" s="37"/>
      <c r="N1291" s="37"/>
      <c r="O1291" s="37"/>
      <c r="P1291" s="37"/>
      <c r="Q1291" s="37"/>
      <c r="R1291" s="37"/>
      <c r="S1291" s="37"/>
      <c r="T1291" s="37"/>
      <c r="U1291" s="37"/>
    </row>
    <row r="1292" spans="1:21" ht="15.6">
      <c r="A1292" s="37"/>
      <c r="B1292" s="37"/>
      <c r="C1292" s="37"/>
      <c r="D1292" s="37"/>
      <c r="E1292" s="37"/>
      <c r="F1292" s="46"/>
      <c r="G1292" s="37"/>
      <c r="H1292" s="37"/>
      <c r="I1292" s="37"/>
      <c r="J1292" s="37"/>
      <c r="K1292" s="37"/>
      <c r="L1292" s="37"/>
      <c r="M1292" s="37"/>
      <c r="N1292" s="37"/>
      <c r="O1292" s="37"/>
      <c r="P1292" s="37"/>
      <c r="Q1292" s="37"/>
      <c r="R1292" s="37"/>
      <c r="S1292" s="37"/>
      <c r="T1292" s="37"/>
      <c r="U1292" s="37"/>
    </row>
    <row r="1293" spans="1:21" ht="15.6">
      <c r="A1293" s="37"/>
      <c r="B1293" s="37"/>
      <c r="C1293" s="37"/>
      <c r="D1293" s="37"/>
      <c r="E1293" s="37"/>
      <c r="F1293" s="46"/>
      <c r="G1293" s="37"/>
      <c r="H1293" s="37"/>
      <c r="I1293" s="37"/>
      <c r="J1293" s="37"/>
      <c r="K1293" s="37"/>
      <c r="L1293" s="37"/>
      <c r="M1293" s="37"/>
      <c r="N1293" s="37"/>
      <c r="O1293" s="37"/>
      <c r="P1293" s="37"/>
      <c r="Q1293" s="37"/>
      <c r="R1293" s="37"/>
      <c r="S1293" s="37"/>
      <c r="T1293" s="37"/>
      <c r="U1293" s="37"/>
    </row>
    <row r="1294" spans="1:21" ht="15.6">
      <c r="A1294" s="37"/>
      <c r="B1294" s="37"/>
      <c r="C1294" s="37"/>
      <c r="D1294" s="37"/>
      <c r="E1294" s="37"/>
      <c r="F1294" s="46"/>
      <c r="G1294" s="37"/>
      <c r="H1294" s="37"/>
      <c r="I1294" s="37"/>
      <c r="J1294" s="37"/>
      <c r="K1294" s="37"/>
      <c r="L1294" s="37"/>
      <c r="M1294" s="37"/>
      <c r="N1294" s="37"/>
      <c r="O1294" s="37"/>
      <c r="P1294" s="37"/>
      <c r="Q1294" s="37"/>
      <c r="R1294" s="37"/>
      <c r="S1294" s="37"/>
      <c r="T1294" s="37"/>
      <c r="U1294" s="37"/>
    </row>
    <row r="1295" spans="1:21" ht="15.6">
      <c r="A1295" s="37"/>
      <c r="B1295" s="37"/>
      <c r="C1295" s="37"/>
      <c r="D1295" s="37"/>
      <c r="E1295" s="37"/>
      <c r="F1295" s="46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  <c r="Q1295" s="37"/>
      <c r="R1295" s="37"/>
      <c r="S1295" s="37"/>
      <c r="T1295" s="37"/>
      <c r="U1295" s="37"/>
    </row>
    <row r="1296" spans="1:21" ht="15.6">
      <c r="A1296" s="37"/>
      <c r="B1296" s="37"/>
      <c r="C1296" s="37"/>
      <c r="D1296" s="37"/>
      <c r="E1296" s="37"/>
      <c r="F1296" s="46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  <c r="Q1296" s="37"/>
      <c r="R1296" s="37"/>
      <c r="S1296" s="37"/>
      <c r="T1296" s="37"/>
      <c r="U1296" s="37"/>
    </row>
    <row r="1297" spans="1:21" ht="15.6">
      <c r="A1297" s="37"/>
      <c r="B1297" s="37"/>
      <c r="C1297" s="37"/>
      <c r="D1297" s="37"/>
      <c r="E1297" s="37"/>
      <c r="F1297" s="46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  <c r="Q1297" s="37"/>
      <c r="R1297" s="37"/>
      <c r="S1297" s="37"/>
      <c r="T1297" s="37"/>
      <c r="U1297" s="37"/>
    </row>
    <row r="1298" spans="1:21" ht="15.6">
      <c r="A1298" s="37"/>
      <c r="B1298" s="37"/>
      <c r="C1298" s="37"/>
      <c r="D1298" s="37"/>
      <c r="E1298" s="37"/>
      <c r="F1298" s="46"/>
      <c r="G1298" s="37"/>
      <c r="H1298" s="37"/>
      <c r="I1298" s="37"/>
      <c r="J1298" s="37"/>
      <c r="K1298" s="37"/>
      <c r="L1298" s="37"/>
      <c r="M1298" s="37"/>
      <c r="N1298" s="37"/>
      <c r="O1298" s="37"/>
      <c r="P1298" s="37"/>
      <c r="Q1298" s="37"/>
      <c r="R1298" s="37"/>
      <c r="S1298" s="37"/>
      <c r="T1298" s="37"/>
      <c r="U1298" s="37"/>
    </row>
    <row r="1299" spans="1:21" ht="15.6">
      <c r="A1299" s="37"/>
      <c r="B1299" s="37"/>
      <c r="C1299" s="37"/>
      <c r="D1299" s="37"/>
      <c r="E1299" s="37"/>
      <c r="F1299" s="46"/>
      <c r="G1299" s="37"/>
      <c r="H1299" s="37"/>
      <c r="I1299" s="37"/>
      <c r="J1299" s="37"/>
      <c r="K1299" s="37"/>
      <c r="L1299" s="37"/>
      <c r="M1299" s="37"/>
      <c r="N1299" s="37"/>
      <c r="O1299" s="37"/>
      <c r="P1299" s="37"/>
      <c r="Q1299" s="37"/>
      <c r="R1299" s="37"/>
      <c r="S1299" s="37"/>
      <c r="T1299" s="37"/>
      <c r="U1299" s="37"/>
    </row>
    <row r="1300" spans="1:21" ht="15.6">
      <c r="A1300" s="37"/>
      <c r="B1300" s="37"/>
      <c r="C1300" s="37"/>
      <c r="D1300" s="37"/>
      <c r="E1300" s="37"/>
      <c r="F1300" s="46"/>
      <c r="G1300" s="37"/>
      <c r="H1300" s="37"/>
      <c r="I1300" s="37"/>
      <c r="J1300" s="37"/>
      <c r="K1300" s="37"/>
      <c r="L1300" s="37"/>
      <c r="M1300" s="37"/>
      <c r="N1300" s="37"/>
      <c r="O1300" s="37"/>
      <c r="P1300" s="37"/>
      <c r="Q1300" s="37"/>
      <c r="R1300" s="37"/>
      <c r="S1300" s="37"/>
      <c r="T1300" s="37"/>
      <c r="U1300" s="37"/>
    </row>
    <row r="1301" spans="1:21" ht="15.6">
      <c r="A1301" s="37"/>
      <c r="B1301" s="37"/>
      <c r="C1301" s="37"/>
      <c r="D1301" s="37"/>
      <c r="E1301" s="37"/>
      <c r="F1301" s="46"/>
      <c r="G1301" s="37"/>
      <c r="H1301" s="37"/>
      <c r="I1301" s="37"/>
      <c r="J1301" s="37"/>
      <c r="K1301" s="37"/>
      <c r="L1301" s="37"/>
      <c r="M1301" s="37"/>
      <c r="N1301" s="37"/>
      <c r="O1301" s="37"/>
      <c r="P1301" s="37"/>
      <c r="Q1301" s="37"/>
      <c r="R1301" s="37"/>
      <c r="S1301" s="37"/>
      <c r="T1301" s="37"/>
      <c r="U1301" s="37"/>
    </row>
    <row r="1302" spans="1:21" ht="15.6">
      <c r="A1302" s="37"/>
      <c r="B1302" s="37"/>
      <c r="C1302" s="37"/>
      <c r="D1302" s="37"/>
      <c r="E1302" s="37"/>
      <c r="F1302" s="46"/>
      <c r="G1302" s="37"/>
      <c r="H1302" s="37"/>
      <c r="I1302" s="37"/>
      <c r="J1302" s="37"/>
      <c r="K1302" s="37"/>
      <c r="L1302" s="37"/>
      <c r="M1302" s="37"/>
      <c r="N1302" s="37"/>
      <c r="O1302" s="37"/>
      <c r="P1302" s="37"/>
      <c r="Q1302" s="37"/>
      <c r="R1302" s="37"/>
      <c r="S1302" s="37"/>
      <c r="T1302" s="37"/>
      <c r="U1302" s="37"/>
    </row>
    <row r="1303" spans="1:21" ht="15.6">
      <c r="A1303" s="37"/>
      <c r="B1303" s="37"/>
      <c r="C1303" s="37"/>
      <c r="D1303" s="37"/>
      <c r="E1303" s="37"/>
      <c r="F1303" s="46"/>
      <c r="G1303" s="37"/>
      <c r="H1303" s="37"/>
      <c r="I1303" s="37"/>
      <c r="J1303" s="37"/>
      <c r="K1303" s="37"/>
      <c r="L1303" s="37"/>
      <c r="M1303" s="37"/>
      <c r="N1303" s="37"/>
      <c r="O1303" s="37"/>
      <c r="P1303" s="37"/>
      <c r="Q1303" s="37"/>
      <c r="R1303" s="37"/>
      <c r="S1303" s="37"/>
      <c r="T1303" s="37"/>
      <c r="U1303" s="37"/>
    </row>
    <row r="1304" spans="1:21" ht="15.6">
      <c r="A1304" s="37"/>
      <c r="B1304" s="37"/>
      <c r="C1304" s="37"/>
      <c r="D1304" s="37"/>
      <c r="E1304" s="37"/>
      <c r="F1304" s="46"/>
      <c r="G1304" s="37"/>
      <c r="H1304" s="37"/>
      <c r="I1304" s="37"/>
      <c r="J1304" s="37"/>
      <c r="K1304" s="37"/>
      <c r="L1304" s="37"/>
      <c r="M1304" s="37"/>
      <c r="N1304" s="37"/>
      <c r="O1304" s="37"/>
      <c r="P1304" s="37"/>
      <c r="Q1304" s="37"/>
      <c r="R1304" s="37"/>
      <c r="S1304" s="37"/>
      <c r="T1304" s="37"/>
      <c r="U1304" s="37"/>
    </row>
    <row r="1305" spans="1:21" ht="15.6">
      <c r="A1305" s="37"/>
      <c r="B1305" s="37"/>
      <c r="C1305" s="37"/>
      <c r="D1305" s="37"/>
      <c r="E1305" s="37"/>
      <c r="F1305" s="46"/>
      <c r="G1305" s="37"/>
      <c r="H1305" s="37"/>
      <c r="I1305" s="37"/>
      <c r="J1305" s="37"/>
      <c r="K1305" s="37"/>
      <c r="L1305" s="37"/>
      <c r="M1305" s="37"/>
      <c r="N1305" s="37"/>
      <c r="O1305" s="37"/>
      <c r="P1305" s="37"/>
      <c r="Q1305" s="37"/>
      <c r="R1305" s="37"/>
      <c r="S1305" s="37"/>
      <c r="T1305" s="37"/>
      <c r="U1305" s="37"/>
    </row>
    <row r="1306" spans="1:21" ht="15.6">
      <c r="A1306" s="37"/>
      <c r="B1306" s="37"/>
      <c r="C1306" s="37"/>
      <c r="D1306" s="37"/>
      <c r="E1306" s="37"/>
      <c r="F1306" s="46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  <c r="Q1306" s="37"/>
      <c r="R1306" s="37"/>
      <c r="S1306" s="37"/>
      <c r="T1306" s="37"/>
      <c r="U1306" s="37"/>
    </row>
    <row r="1307" spans="1:21" ht="15.6">
      <c r="A1307" s="37"/>
      <c r="B1307" s="37"/>
      <c r="C1307" s="37"/>
      <c r="D1307" s="37"/>
      <c r="E1307" s="37"/>
      <c r="F1307" s="46"/>
      <c r="G1307" s="37"/>
      <c r="H1307" s="37"/>
      <c r="I1307" s="37"/>
      <c r="J1307" s="37"/>
      <c r="K1307" s="37"/>
      <c r="L1307" s="37"/>
      <c r="M1307" s="37"/>
      <c r="N1307" s="37"/>
      <c r="O1307" s="37"/>
      <c r="P1307" s="37"/>
      <c r="Q1307" s="37"/>
      <c r="R1307" s="37"/>
      <c r="S1307" s="37"/>
      <c r="T1307" s="37"/>
      <c r="U1307" s="37"/>
    </row>
    <row r="1308" spans="1:21" ht="15.6">
      <c r="A1308" s="37"/>
      <c r="B1308" s="37"/>
      <c r="C1308" s="37"/>
      <c r="D1308" s="37"/>
      <c r="E1308" s="37"/>
      <c r="F1308" s="46"/>
      <c r="G1308" s="37"/>
      <c r="H1308" s="37"/>
      <c r="I1308" s="37"/>
      <c r="J1308" s="37"/>
      <c r="K1308" s="37"/>
      <c r="L1308" s="37"/>
      <c r="M1308" s="37"/>
      <c r="N1308" s="37"/>
      <c r="O1308" s="37"/>
      <c r="P1308" s="37"/>
      <c r="Q1308" s="37"/>
      <c r="R1308" s="37"/>
      <c r="S1308" s="37"/>
      <c r="T1308" s="37"/>
      <c r="U1308" s="37"/>
    </row>
    <row r="1309" spans="1:21" ht="15.6">
      <c r="A1309" s="37"/>
      <c r="B1309" s="37"/>
      <c r="C1309" s="37"/>
      <c r="D1309" s="37"/>
      <c r="E1309" s="37"/>
      <c r="F1309" s="46"/>
      <c r="G1309" s="37"/>
      <c r="H1309" s="37"/>
      <c r="I1309" s="37"/>
      <c r="J1309" s="37"/>
      <c r="K1309" s="37"/>
      <c r="L1309" s="37"/>
      <c r="M1309" s="37"/>
      <c r="N1309" s="37"/>
      <c r="O1309" s="37"/>
      <c r="P1309" s="37"/>
      <c r="Q1309" s="37"/>
      <c r="R1309" s="37"/>
      <c r="S1309" s="37"/>
      <c r="T1309" s="37"/>
      <c r="U1309" s="37"/>
    </row>
    <row r="1310" spans="1:21" ht="15.6">
      <c r="A1310" s="37"/>
      <c r="B1310" s="37"/>
      <c r="C1310" s="37"/>
      <c r="D1310" s="37"/>
      <c r="E1310" s="37"/>
      <c r="F1310" s="46"/>
      <c r="G1310" s="37"/>
      <c r="H1310" s="37"/>
      <c r="I1310" s="37"/>
      <c r="J1310" s="37"/>
      <c r="K1310" s="37"/>
      <c r="L1310" s="37"/>
      <c r="M1310" s="37"/>
      <c r="N1310" s="37"/>
      <c r="O1310" s="37"/>
      <c r="P1310" s="37"/>
      <c r="Q1310" s="37"/>
      <c r="R1310" s="37"/>
      <c r="S1310" s="37"/>
      <c r="T1310" s="37"/>
      <c r="U1310" s="37"/>
    </row>
    <row r="1311" spans="1:21" ht="15.6">
      <c r="A1311" s="37"/>
      <c r="B1311" s="37"/>
      <c r="C1311" s="37"/>
      <c r="D1311" s="37"/>
      <c r="E1311" s="37"/>
      <c r="F1311" s="46"/>
      <c r="G1311" s="37"/>
      <c r="H1311" s="37"/>
      <c r="I1311" s="37"/>
      <c r="J1311" s="37"/>
      <c r="K1311" s="37"/>
      <c r="L1311" s="37"/>
      <c r="M1311" s="37"/>
      <c r="N1311" s="37"/>
      <c r="O1311" s="37"/>
      <c r="P1311" s="37"/>
      <c r="Q1311" s="37"/>
      <c r="R1311" s="37"/>
      <c r="S1311" s="37"/>
      <c r="T1311" s="37"/>
      <c r="U1311" s="37"/>
    </row>
    <row r="1312" spans="1:21" ht="15.6">
      <c r="A1312" s="37"/>
      <c r="B1312" s="37"/>
      <c r="C1312" s="37"/>
      <c r="D1312" s="37"/>
      <c r="E1312" s="37"/>
      <c r="F1312" s="46"/>
      <c r="G1312" s="37"/>
      <c r="H1312" s="37"/>
      <c r="I1312" s="37"/>
      <c r="J1312" s="37"/>
      <c r="K1312" s="37"/>
      <c r="L1312" s="37"/>
      <c r="M1312" s="37"/>
      <c r="N1312" s="37"/>
      <c r="O1312" s="37"/>
      <c r="P1312" s="37"/>
      <c r="Q1312" s="37"/>
      <c r="R1312" s="37"/>
      <c r="S1312" s="37"/>
      <c r="T1312" s="37"/>
      <c r="U1312" s="37"/>
    </row>
    <row r="1313" spans="1:21" ht="15.6">
      <c r="A1313" s="37"/>
      <c r="B1313" s="37"/>
      <c r="C1313" s="37"/>
      <c r="D1313" s="37"/>
      <c r="E1313" s="37"/>
      <c r="F1313" s="46"/>
      <c r="G1313" s="37"/>
      <c r="H1313" s="37"/>
      <c r="I1313" s="37"/>
      <c r="J1313" s="37"/>
      <c r="K1313" s="37"/>
      <c r="L1313" s="37"/>
      <c r="M1313" s="37"/>
      <c r="N1313" s="37"/>
      <c r="O1313" s="37"/>
      <c r="P1313" s="37"/>
      <c r="Q1313" s="37"/>
      <c r="R1313" s="37"/>
      <c r="S1313" s="37"/>
      <c r="T1313" s="37"/>
      <c r="U1313" s="37"/>
    </row>
    <row r="1314" spans="1:21" ht="15.6">
      <c r="A1314" s="37"/>
      <c r="B1314" s="37"/>
      <c r="C1314" s="37"/>
      <c r="D1314" s="37"/>
      <c r="E1314" s="37"/>
      <c r="F1314" s="46"/>
      <c r="G1314" s="37"/>
      <c r="H1314" s="37"/>
      <c r="I1314" s="37"/>
      <c r="J1314" s="37"/>
      <c r="K1314" s="37"/>
      <c r="L1314" s="37"/>
      <c r="M1314" s="37"/>
      <c r="N1314" s="37"/>
      <c r="O1314" s="37"/>
      <c r="P1314" s="37"/>
      <c r="Q1314" s="37"/>
      <c r="R1314" s="37"/>
      <c r="S1314" s="37"/>
      <c r="T1314" s="37"/>
      <c r="U1314" s="37"/>
    </row>
    <row r="1315" spans="1:21" ht="15.6">
      <c r="A1315" s="37"/>
      <c r="B1315" s="37"/>
      <c r="C1315" s="37"/>
      <c r="D1315" s="37"/>
      <c r="E1315" s="37"/>
      <c r="F1315" s="46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  <c r="Q1315" s="37"/>
      <c r="R1315" s="37"/>
      <c r="S1315" s="37"/>
      <c r="T1315" s="37"/>
      <c r="U1315" s="37"/>
    </row>
    <row r="1316" spans="1:21" ht="15.6">
      <c r="A1316" s="37"/>
      <c r="B1316" s="37"/>
      <c r="C1316" s="37"/>
      <c r="D1316" s="37"/>
      <c r="E1316" s="37"/>
      <c r="F1316" s="46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  <c r="Q1316" s="37"/>
      <c r="R1316" s="37"/>
      <c r="S1316" s="37"/>
      <c r="T1316" s="37"/>
      <c r="U1316" s="37"/>
    </row>
    <row r="1317" spans="1:21" ht="15.6">
      <c r="A1317" s="37"/>
      <c r="B1317" s="37"/>
      <c r="C1317" s="37"/>
      <c r="D1317" s="37"/>
      <c r="E1317" s="37"/>
      <c r="F1317" s="46"/>
      <c r="G1317" s="37"/>
      <c r="H1317" s="37"/>
      <c r="I1317" s="37"/>
      <c r="J1317" s="37"/>
      <c r="K1317" s="37"/>
      <c r="L1317" s="37"/>
      <c r="M1317" s="37"/>
      <c r="N1317" s="37"/>
      <c r="O1317" s="37"/>
      <c r="P1317" s="37"/>
      <c r="Q1317" s="37"/>
      <c r="R1317" s="37"/>
      <c r="S1317" s="37"/>
      <c r="T1317" s="37"/>
      <c r="U1317" s="37"/>
    </row>
    <row r="1318" spans="1:21" ht="15.6">
      <c r="A1318" s="37"/>
      <c r="B1318" s="37"/>
      <c r="C1318" s="37"/>
      <c r="D1318" s="37"/>
      <c r="E1318" s="37"/>
      <c r="F1318" s="46"/>
      <c r="G1318" s="37"/>
      <c r="H1318" s="37"/>
      <c r="I1318" s="37"/>
      <c r="J1318" s="37"/>
      <c r="K1318" s="37"/>
      <c r="L1318" s="37"/>
      <c r="M1318" s="37"/>
      <c r="N1318" s="37"/>
      <c r="O1318" s="37"/>
      <c r="P1318" s="37"/>
      <c r="Q1318" s="37"/>
      <c r="R1318" s="37"/>
      <c r="S1318" s="37"/>
      <c r="T1318" s="37"/>
      <c r="U1318" s="37"/>
    </row>
    <row r="1319" spans="1:21" ht="15.6">
      <c r="A1319" s="37"/>
      <c r="B1319" s="37"/>
      <c r="C1319" s="37"/>
      <c r="D1319" s="37"/>
      <c r="E1319" s="37"/>
      <c r="F1319" s="46"/>
      <c r="G1319" s="37"/>
      <c r="H1319" s="37"/>
      <c r="I1319" s="37"/>
      <c r="J1319" s="37"/>
      <c r="K1319" s="37"/>
      <c r="L1319" s="37"/>
      <c r="M1319" s="37"/>
      <c r="N1319" s="37"/>
      <c r="O1319" s="37"/>
      <c r="P1319" s="37"/>
      <c r="Q1319" s="37"/>
      <c r="R1319" s="37"/>
      <c r="S1319" s="37"/>
      <c r="T1319" s="37"/>
      <c r="U1319" s="37"/>
    </row>
    <row r="1320" spans="1:21" ht="15.6">
      <c r="A1320" s="37"/>
      <c r="B1320" s="37"/>
      <c r="C1320" s="37"/>
      <c r="D1320" s="37"/>
      <c r="E1320" s="37"/>
      <c r="F1320" s="46"/>
      <c r="G1320" s="37"/>
      <c r="H1320" s="37"/>
      <c r="I1320" s="37"/>
      <c r="J1320" s="37"/>
      <c r="K1320" s="37"/>
      <c r="L1320" s="37"/>
      <c r="M1320" s="37"/>
      <c r="N1320" s="37"/>
      <c r="O1320" s="37"/>
      <c r="P1320" s="37"/>
      <c r="Q1320" s="37"/>
      <c r="R1320" s="37"/>
      <c r="S1320" s="37"/>
      <c r="T1320" s="37"/>
      <c r="U1320" s="37"/>
    </row>
    <row r="1321" spans="1:21" ht="15.6">
      <c r="A1321" s="37"/>
      <c r="B1321" s="37"/>
      <c r="C1321" s="37"/>
      <c r="D1321" s="37"/>
      <c r="E1321" s="37"/>
      <c r="F1321" s="46"/>
      <c r="G1321" s="37"/>
      <c r="H1321" s="37"/>
      <c r="I1321" s="37"/>
      <c r="J1321" s="37"/>
      <c r="K1321" s="37"/>
      <c r="L1321" s="37"/>
      <c r="M1321" s="37"/>
      <c r="N1321" s="37"/>
      <c r="O1321" s="37"/>
      <c r="P1321" s="37"/>
      <c r="Q1321" s="37"/>
      <c r="R1321" s="37"/>
      <c r="S1321" s="37"/>
      <c r="T1321" s="37"/>
      <c r="U1321" s="37"/>
    </row>
    <row r="1322" spans="1:21" ht="15.6">
      <c r="A1322" s="37"/>
      <c r="B1322" s="37"/>
      <c r="C1322" s="37"/>
      <c r="D1322" s="37"/>
      <c r="E1322" s="37"/>
      <c r="F1322" s="46"/>
      <c r="G1322" s="37"/>
      <c r="H1322" s="37"/>
      <c r="I1322" s="37"/>
      <c r="J1322" s="37"/>
      <c r="K1322" s="37"/>
      <c r="L1322" s="37"/>
      <c r="M1322" s="37"/>
      <c r="N1322" s="37"/>
      <c r="O1322" s="37"/>
      <c r="P1322" s="37"/>
      <c r="Q1322" s="37"/>
      <c r="R1322" s="37"/>
      <c r="S1322" s="37"/>
      <c r="T1322" s="37"/>
      <c r="U1322" s="37"/>
    </row>
    <row r="1323" spans="1:21" ht="15.6">
      <c r="A1323" s="37"/>
      <c r="B1323" s="37"/>
      <c r="C1323" s="37"/>
      <c r="D1323" s="37"/>
      <c r="E1323" s="37"/>
      <c r="F1323" s="46"/>
      <c r="G1323" s="37"/>
      <c r="H1323" s="37"/>
      <c r="I1323" s="37"/>
      <c r="J1323" s="37"/>
      <c r="K1323" s="37"/>
      <c r="L1323" s="37"/>
      <c r="M1323" s="37"/>
      <c r="N1323" s="37"/>
      <c r="O1323" s="37"/>
      <c r="P1323" s="37"/>
      <c r="Q1323" s="37"/>
      <c r="R1323" s="37"/>
      <c r="S1323" s="37"/>
      <c r="T1323" s="37"/>
      <c r="U1323" s="37"/>
    </row>
    <row r="1324" spans="1:21" ht="15.6">
      <c r="A1324" s="37"/>
      <c r="B1324" s="37"/>
      <c r="C1324" s="37"/>
      <c r="D1324" s="37"/>
      <c r="E1324" s="37"/>
      <c r="F1324" s="46"/>
      <c r="G1324" s="37"/>
      <c r="H1324" s="37"/>
      <c r="I1324" s="37"/>
      <c r="J1324" s="37"/>
      <c r="K1324" s="37"/>
      <c r="L1324" s="37"/>
      <c r="M1324" s="37"/>
      <c r="N1324" s="37"/>
      <c r="O1324" s="37"/>
      <c r="P1324" s="37"/>
      <c r="Q1324" s="37"/>
      <c r="R1324" s="37"/>
      <c r="S1324" s="37"/>
      <c r="T1324" s="37"/>
      <c r="U1324" s="37"/>
    </row>
    <row r="1325" spans="1:21" ht="15.6">
      <c r="A1325" s="37"/>
      <c r="B1325" s="37"/>
      <c r="C1325" s="37"/>
      <c r="D1325" s="37"/>
      <c r="E1325" s="37"/>
      <c r="F1325" s="46"/>
      <c r="G1325" s="37"/>
      <c r="H1325" s="37"/>
      <c r="I1325" s="37"/>
      <c r="J1325" s="37"/>
      <c r="K1325" s="37"/>
      <c r="L1325" s="37"/>
      <c r="M1325" s="37"/>
      <c r="N1325" s="37"/>
      <c r="O1325" s="37"/>
      <c r="P1325" s="37"/>
      <c r="Q1325" s="37"/>
      <c r="R1325" s="37"/>
      <c r="S1325" s="37"/>
      <c r="T1325" s="37"/>
      <c r="U1325" s="37"/>
    </row>
    <row r="1326" spans="1:21" ht="15.6">
      <c r="A1326" s="37"/>
      <c r="B1326" s="37"/>
      <c r="C1326" s="37"/>
      <c r="D1326" s="37"/>
      <c r="E1326" s="37"/>
      <c r="F1326" s="46"/>
      <c r="G1326" s="37"/>
      <c r="H1326" s="37"/>
      <c r="I1326" s="37"/>
      <c r="J1326" s="37"/>
      <c r="K1326" s="37"/>
      <c r="L1326" s="37"/>
      <c r="M1326" s="37"/>
      <c r="N1326" s="37"/>
      <c r="O1326" s="37"/>
      <c r="P1326" s="37"/>
      <c r="Q1326" s="37"/>
      <c r="R1326" s="37"/>
      <c r="S1326" s="37"/>
      <c r="T1326" s="37"/>
      <c r="U1326" s="37"/>
    </row>
    <row r="1327" spans="1:21" ht="15.6">
      <c r="A1327" s="37"/>
      <c r="B1327" s="37"/>
      <c r="C1327" s="37"/>
      <c r="D1327" s="37"/>
      <c r="E1327" s="37"/>
      <c r="F1327" s="46"/>
      <c r="G1327" s="37"/>
      <c r="H1327" s="37"/>
      <c r="I1327" s="37"/>
      <c r="J1327" s="37"/>
      <c r="K1327" s="37"/>
      <c r="L1327" s="37"/>
      <c r="M1327" s="37"/>
      <c r="N1327" s="37"/>
      <c r="O1327" s="37"/>
      <c r="P1327" s="37"/>
      <c r="Q1327" s="37"/>
      <c r="R1327" s="37"/>
      <c r="S1327" s="37"/>
      <c r="T1327" s="37"/>
      <c r="U1327" s="37"/>
    </row>
    <row r="1328" spans="1:21" ht="15.6">
      <c r="A1328" s="37"/>
      <c r="B1328" s="37"/>
      <c r="C1328" s="37"/>
      <c r="D1328" s="37"/>
      <c r="E1328" s="37"/>
      <c r="F1328" s="46"/>
      <c r="G1328" s="37"/>
      <c r="H1328" s="37"/>
      <c r="I1328" s="37"/>
      <c r="J1328" s="37"/>
      <c r="K1328" s="37"/>
      <c r="L1328" s="37"/>
      <c r="M1328" s="37"/>
      <c r="N1328" s="37"/>
      <c r="O1328" s="37"/>
      <c r="P1328" s="37"/>
      <c r="Q1328" s="37"/>
      <c r="R1328" s="37"/>
      <c r="S1328" s="37"/>
      <c r="T1328" s="37"/>
      <c r="U1328" s="37"/>
    </row>
    <row r="1329" spans="1:21" ht="15.6">
      <c r="A1329" s="37"/>
      <c r="B1329" s="37"/>
      <c r="C1329" s="37"/>
      <c r="D1329" s="37"/>
      <c r="E1329" s="37"/>
      <c r="F1329" s="46"/>
      <c r="G1329" s="37"/>
      <c r="H1329" s="37"/>
      <c r="I1329" s="37"/>
      <c r="J1329" s="37"/>
      <c r="K1329" s="37"/>
      <c r="L1329" s="37"/>
      <c r="M1329" s="37"/>
      <c r="N1329" s="37"/>
      <c r="O1329" s="37"/>
      <c r="P1329" s="37"/>
      <c r="Q1329" s="37"/>
      <c r="R1329" s="37"/>
      <c r="S1329" s="37"/>
      <c r="T1329" s="37"/>
      <c r="U1329" s="37"/>
    </row>
    <row r="1330" spans="1:21" ht="15.6">
      <c r="A1330" s="37"/>
      <c r="B1330" s="37"/>
      <c r="C1330" s="37"/>
      <c r="D1330" s="37"/>
      <c r="E1330" s="37"/>
      <c r="F1330" s="46"/>
      <c r="G1330" s="37"/>
      <c r="H1330" s="37"/>
      <c r="I1330" s="37"/>
      <c r="J1330" s="37"/>
      <c r="K1330" s="37"/>
      <c r="L1330" s="37"/>
      <c r="M1330" s="37"/>
      <c r="N1330" s="37"/>
      <c r="O1330" s="37"/>
      <c r="P1330" s="37"/>
      <c r="Q1330" s="37"/>
      <c r="R1330" s="37"/>
      <c r="S1330" s="37"/>
      <c r="T1330" s="37"/>
      <c r="U1330" s="37"/>
    </row>
    <row r="1331" spans="1:21" ht="15.6">
      <c r="A1331" s="37"/>
      <c r="B1331" s="37"/>
      <c r="C1331" s="37"/>
      <c r="D1331" s="37"/>
      <c r="E1331" s="37"/>
      <c r="F1331" s="46"/>
      <c r="G1331" s="37"/>
      <c r="H1331" s="37"/>
      <c r="I1331" s="37"/>
      <c r="J1331" s="37"/>
      <c r="K1331" s="37"/>
      <c r="L1331" s="37"/>
      <c r="M1331" s="37"/>
      <c r="N1331" s="37"/>
      <c r="O1331" s="37"/>
      <c r="P1331" s="37"/>
      <c r="Q1331" s="37"/>
      <c r="R1331" s="37"/>
      <c r="S1331" s="37"/>
      <c r="T1331" s="37"/>
      <c r="U1331" s="37"/>
    </row>
    <row r="1332" spans="1:21" ht="15.6">
      <c r="A1332" s="37"/>
      <c r="B1332" s="37"/>
      <c r="C1332" s="37"/>
      <c r="D1332" s="37"/>
      <c r="E1332" s="37"/>
      <c r="F1332" s="46"/>
      <c r="G1332" s="37"/>
      <c r="H1332" s="37"/>
      <c r="I1332" s="37"/>
      <c r="J1332" s="37"/>
      <c r="K1332" s="37"/>
      <c r="L1332" s="37"/>
      <c r="M1332" s="37"/>
      <c r="N1332" s="37"/>
      <c r="O1332" s="37"/>
      <c r="P1332" s="37"/>
      <c r="Q1332" s="37"/>
      <c r="R1332" s="37"/>
      <c r="S1332" s="37"/>
      <c r="T1332" s="37"/>
      <c r="U1332" s="37"/>
    </row>
    <row r="1333" spans="1:21" ht="15.6">
      <c r="A1333" s="37"/>
      <c r="B1333" s="37"/>
      <c r="C1333" s="37"/>
      <c r="D1333" s="37"/>
      <c r="E1333" s="37"/>
      <c r="F1333" s="46"/>
      <c r="G1333" s="37"/>
      <c r="H1333" s="37"/>
      <c r="I1333" s="37"/>
      <c r="J1333" s="37"/>
      <c r="K1333" s="37"/>
      <c r="L1333" s="37"/>
      <c r="M1333" s="37"/>
      <c r="N1333" s="37"/>
      <c r="O1333" s="37"/>
      <c r="P1333" s="37"/>
      <c r="Q1333" s="37"/>
      <c r="R1333" s="37"/>
      <c r="S1333" s="37"/>
      <c r="T1333" s="37"/>
      <c r="U1333" s="37"/>
    </row>
    <row r="1334" spans="1:21" ht="15.6">
      <c r="A1334" s="37"/>
      <c r="B1334" s="37"/>
      <c r="C1334" s="37"/>
      <c r="D1334" s="37"/>
      <c r="E1334" s="37"/>
      <c r="F1334" s="46"/>
      <c r="G1334" s="37"/>
      <c r="H1334" s="37"/>
      <c r="I1334" s="37"/>
      <c r="J1334" s="37"/>
      <c r="K1334" s="37"/>
      <c r="L1334" s="37"/>
      <c r="M1334" s="37"/>
      <c r="N1334" s="37"/>
      <c r="O1334" s="37"/>
      <c r="P1334" s="37"/>
      <c r="Q1334" s="37"/>
      <c r="R1334" s="37"/>
      <c r="S1334" s="37"/>
      <c r="T1334" s="37"/>
      <c r="U1334" s="37"/>
    </row>
    <row r="1335" spans="1:21" ht="15.6">
      <c r="A1335" s="37"/>
      <c r="B1335" s="37"/>
      <c r="C1335" s="37"/>
      <c r="D1335" s="37"/>
      <c r="E1335" s="37"/>
      <c r="F1335" s="46"/>
      <c r="G1335" s="37"/>
      <c r="H1335" s="37"/>
      <c r="I1335" s="37"/>
      <c r="J1335" s="37"/>
      <c r="K1335" s="37"/>
      <c r="L1335" s="37"/>
      <c r="M1335" s="37"/>
      <c r="N1335" s="37"/>
      <c r="O1335" s="37"/>
      <c r="P1335" s="37"/>
      <c r="Q1335" s="37"/>
      <c r="R1335" s="37"/>
      <c r="S1335" s="37"/>
      <c r="T1335" s="37"/>
      <c r="U1335" s="37"/>
    </row>
    <row r="1336" spans="1:21" ht="15.6">
      <c r="A1336" s="37"/>
      <c r="B1336" s="37"/>
      <c r="C1336" s="37"/>
      <c r="D1336" s="37"/>
      <c r="E1336" s="37"/>
      <c r="F1336" s="46"/>
      <c r="G1336" s="37"/>
      <c r="H1336" s="37"/>
      <c r="I1336" s="37"/>
      <c r="J1336" s="37"/>
      <c r="K1336" s="37"/>
      <c r="L1336" s="37"/>
      <c r="M1336" s="37"/>
      <c r="N1336" s="37"/>
      <c r="O1336" s="37"/>
      <c r="P1336" s="37"/>
      <c r="Q1336" s="37"/>
      <c r="R1336" s="37"/>
      <c r="S1336" s="37"/>
      <c r="T1336" s="37"/>
      <c r="U1336" s="37"/>
    </row>
    <row r="1337" spans="1:21" ht="15.6">
      <c r="A1337" s="37"/>
      <c r="B1337" s="37"/>
      <c r="C1337" s="37"/>
      <c r="D1337" s="37"/>
      <c r="E1337" s="37"/>
      <c r="F1337" s="46"/>
      <c r="G1337" s="37"/>
      <c r="H1337" s="37"/>
      <c r="I1337" s="37"/>
      <c r="J1337" s="37"/>
      <c r="K1337" s="37"/>
      <c r="L1337" s="37"/>
      <c r="M1337" s="37"/>
      <c r="N1337" s="37"/>
      <c r="O1337" s="37"/>
      <c r="P1337" s="37"/>
      <c r="Q1337" s="37"/>
      <c r="R1337" s="37"/>
      <c r="S1337" s="37"/>
      <c r="T1337" s="37"/>
      <c r="U1337" s="37"/>
    </row>
    <row r="1338" spans="1:21" ht="15.6">
      <c r="A1338" s="37"/>
      <c r="B1338" s="37"/>
      <c r="C1338" s="37"/>
      <c r="D1338" s="37"/>
      <c r="E1338" s="37"/>
      <c r="F1338" s="46"/>
      <c r="G1338" s="37"/>
      <c r="H1338" s="37"/>
      <c r="I1338" s="37"/>
      <c r="J1338" s="37"/>
      <c r="K1338" s="37"/>
      <c r="L1338" s="37"/>
      <c r="M1338" s="37"/>
      <c r="N1338" s="37"/>
      <c r="O1338" s="37"/>
      <c r="P1338" s="37"/>
      <c r="Q1338" s="37"/>
      <c r="R1338" s="37"/>
      <c r="S1338" s="37"/>
      <c r="T1338" s="37"/>
      <c r="U1338" s="37"/>
    </row>
    <row r="1339" spans="1:21" ht="15.6">
      <c r="A1339" s="37"/>
      <c r="B1339" s="37"/>
      <c r="C1339" s="37"/>
      <c r="D1339" s="37"/>
      <c r="E1339" s="37"/>
      <c r="F1339" s="46"/>
      <c r="G1339" s="37"/>
      <c r="H1339" s="37"/>
      <c r="I1339" s="37"/>
      <c r="J1339" s="37"/>
      <c r="K1339" s="37"/>
      <c r="L1339" s="37"/>
      <c r="M1339" s="37"/>
      <c r="N1339" s="37"/>
      <c r="O1339" s="37"/>
      <c r="P1339" s="37"/>
      <c r="Q1339" s="37"/>
      <c r="R1339" s="37"/>
      <c r="S1339" s="37"/>
      <c r="T1339" s="37"/>
      <c r="U1339" s="37"/>
    </row>
    <row r="1340" spans="1:21" ht="15.6">
      <c r="A1340" s="37"/>
      <c r="B1340" s="37"/>
      <c r="C1340" s="37"/>
      <c r="D1340" s="37"/>
      <c r="E1340" s="37"/>
      <c r="F1340" s="46"/>
      <c r="G1340" s="37"/>
      <c r="H1340" s="37"/>
      <c r="I1340" s="37"/>
      <c r="J1340" s="37"/>
      <c r="K1340" s="37"/>
      <c r="L1340" s="37"/>
      <c r="M1340" s="37"/>
      <c r="N1340" s="37"/>
      <c r="O1340" s="37"/>
      <c r="P1340" s="37"/>
      <c r="Q1340" s="37"/>
      <c r="R1340" s="37"/>
      <c r="S1340" s="37"/>
      <c r="T1340" s="37"/>
      <c r="U1340" s="37"/>
    </row>
    <row r="1341" spans="1:21" ht="15.6">
      <c r="A1341" s="37"/>
      <c r="B1341" s="37"/>
      <c r="C1341" s="37"/>
      <c r="D1341" s="37"/>
      <c r="E1341" s="37"/>
      <c r="F1341" s="46"/>
      <c r="G1341" s="37"/>
      <c r="H1341" s="37"/>
      <c r="I1341" s="37"/>
      <c r="J1341" s="37"/>
      <c r="K1341" s="37"/>
      <c r="L1341" s="37"/>
      <c r="M1341" s="37"/>
      <c r="N1341" s="37"/>
      <c r="O1341" s="37"/>
      <c r="P1341" s="37"/>
      <c r="Q1341" s="37"/>
      <c r="R1341" s="37"/>
      <c r="S1341" s="37"/>
      <c r="T1341" s="37"/>
      <c r="U1341" s="37"/>
    </row>
    <row r="1342" spans="1:21" ht="15.6">
      <c r="A1342" s="37"/>
      <c r="B1342" s="37"/>
      <c r="C1342" s="37"/>
      <c r="D1342" s="37"/>
      <c r="E1342" s="37"/>
      <c r="F1342" s="46"/>
      <c r="G1342" s="37"/>
      <c r="H1342" s="37"/>
      <c r="I1342" s="37"/>
      <c r="J1342" s="37"/>
      <c r="K1342" s="37"/>
      <c r="L1342" s="37"/>
      <c r="M1342" s="37"/>
      <c r="N1342" s="37"/>
      <c r="O1342" s="37"/>
      <c r="P1342" s="37"/>
      <c r="Q1342" s="37"/>
      <c r="R1342" s="37"/>
      <c r="S1342" s="37"/>
      <c r="T1342" s="37"/>
      <c r="U1342" s="37"/>
    </row>
    <row r="1343" spans="1:21" ht="15.6">
      <c r="A1343" s="37"/>
      <c r="B1343" s="37"/>
      <c r="C1343" s="37"/>
      <c r="D1343" s="37"/>
      <c r="E1343" s="37"/>
      <c r="F1343" s="46"/>
      <c r="G1343" s="37"/>
      <c r="H1343" s="37"/>
      <c r="I1343" s="37"/>
      <c r="J1343" s="37"/>
      <c r="K1343" s="37"/>
      <c r="L1343" s="37"/>
      <c r="M1343" s="37"/>
      <c r="N1343" s="37"/>
      <c r="O1343" s="37"/>
      <c r="P1343" s="37"/>
      <c r="Q1343" s="37"/>
      <c r="R1343" s="37"/>
      <c r="S1343" s="37"/>
      <c r="T1343" s="37"/>
      <c r="U1343" s="37"/>
    </row>
    <row r="1344" spans="1:21" ht="15.6">
      <c r="A1344" s="37"/>
      <c r="B1344" s="37"/>
      <c r="C1344" s="37"/>
      <c r="D1344" s="37"/>
      <c r="E1344" s="37"/>
      <c r="F1344" s="46"/>
      <c r="G1344" s="37"/>
      <c r="H1344" s="37"/>
      <c r="I1344" s="37"/>
      <c r="J1344" s="37"/>
      <c r="K1344" s="37"/>
      <c r="L1344" s="37"/>
      <c r="M1344" s="37"/>
      <c r="N1344" s="37"/>
      <c r="O1344" s="37"/>
      <c r="P1344" s="37"/>
      <c r="Q1344" s="37"/>
      <c r="R1344" s="37"/>
      <c r="S1344" s="37"/>
      <c r="T1344" s="37"/>
      <c r="U1344" s="37"/>
    </row>
    <row r="1345" spans="1:21" ht="15.6">
      <c r="A1345" s="37"/>
      <c r="B1345" s="37"/>
      <c r="C1345" s="37"/>
      <c r="D1345" s="37"/>
      <c r="E1345" s="37"/>
      <c r="F1345" s="46"/>
      <c r="G1345" s="37"/>
      <c r="H1345" s="37"/>
      <c r="I1345" s="37"/>
      <c r="J1345" s="37"/>
      <c r="K1345" s="37"/>
      <c r="L1345" s="37"/>
      <c r="M1345" s="37"/>
      <c r="N1345" s="37"/>
      <c r="O1345" s="37"/>
      <c r="P1345" s="37"/>
      <c r="Q1345" s="37"/>
      <c r="R1345" s="37"/>
      <c r="S1345" s="37"/>
      <c r="T1345" s="37"/>
      <c r="U1345" s="37"/>
    </row>
    <row r="1346" spans="1:21" ht="15.6">
      <c r="A1346" s="37"/>
      <c r="B1346" s="37"/>
      <c r="C1346" s="37"/>
      <c r="D1346" s="37"/>
      <c r="E1346" s="37"/>
      <c r="F1346" s="46"/>
      <c r="G1346" s="37"/>
      <c r="H1346" s="37"/>
      <c r="I1346" s="37"/>
      <c r="J1346" s="37"/>
      <c r="K1346" s="37"/>
      <c r="L1346" s="37"/>
      <c r="M1346" s="37"/>
      <c r="N1346" s="37"/>
      <c r="O1346" s="37"/>
      <c r="P1346" s="37"/>
      <c r="Q1346" s="37"/>
      <c r="R1346" s="37"/>
      <c r="S1346" s="37"/>
      <c r="T1346" s="37"/>
      <c r="U1346" s="37"/>
    </row>
    <row r="1347" spans="1:21" ht="15.6">
      <c r="A1347" s="37"/>
      <c r="B1347" s="37"/>
      <c r="C1347" s="37"/>
      <c r="D1347" s="37"/>
      <c r="E1347" s="37"/>
      <c r="F1347" s="46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  <c r="Q1347" s="37"/>
      <c r="R1347" s="37"/>
      <c r="S1347" s="37"/>
      <c r="T1347" s="37"/>
      <c r="U1347" s="37"/>
    </row>
    <row r="1348" spans="1:21" ht="15.6">
      <c r="A1348" s="37"/>
      <c r="B1348" s="37"/>
      <c r="C1348" s="37"/>
      <c r="D1348" s="37"/>
      <c r="E1348" s="37"/>
      <c r="F1348" s="46"/>
      <c r="G1348" s="37"/>
      <c r="H1348" s="37"/>
      <c r="I1348" s="37"/>
      <c r="J1348" s="37"/>
      <c r="K1348" s="37"/>
      <c r="L1348" s="37"/>
      <c r="M1348" s="37"/>
      <c r="N1348" s="37"/>
      <c r="O1348" s="37"/>
      <c r="P1348" s="37"/>
      <c r="Q1348" s="37"/>
      <c r="R1348" s="37"/>
      <c r="S1348" s="37"/>
      <c r="T1348" s="37"/>
      <c r="U1348" s="37"/>
    </row>
    <row r="1349" spans="1:21" ht="15.6">
      <c r="A1349" s="37"/>
      <c r="B1349" s="37"/>
      <c r="C1349" s="37"/>
      <c r="D1349" s="37"/>
      <c r="E1349" s="37"/>
      <c r="F1349" s="46"/>
      <c r="G1349" s="37"/>
      <c r="H1349" s="37"/>
      <c r="I1349" s="37"/>
      <c r="J1349" s="37"/>
      <c r="K1349" s="37"/>
      <c r="L1349" s="37"/>
      <c r="M1349" s="37"/>
      <c r="N1349" s="37"/>
      <c r="O1349" s="37"/>
      <c r="P1349" s="37"/>
      <c r="Q1349" s="37"/>
      <c r="R1349" s="37"/>
      <c r="S1349" s="37"/>
      <c r="T1349" s="37"/>
      <c r="U1349" s="37"/>
    </row>
    <row r="1350" spans="1:21" ht="15.6">
      <c r="A1350" s="37"/>
      <c r="B1350" s="37"/>
      <c r="C1350" s="37"/>
      <c r="D1350" s="37"/>
      <c r="E1350" s="37"/>
      <c r="F1350" s="46"/>
      <c r="G1350" s="37"/>
      <c r="H1350" s="37"/>
      <c r="I1350" s="37"/>
      <c r="J1350" s="37"/>
      <c r="K1350" s="37"/>
      <c r="L1350" s="37"/>
      <c r="M1350" s="37"/>
      <c r="N1350" s="37"/>
      <c r="O1350" s="37"/>
      <c r="P1350" s="37"/>
      <c r="Q1350" s="37"/>
      <c r="R1350" s="37"/>
      <c r="S1350" s="37"/>
      <c r="T1350" s="37"/>
      <c r="U1350" s="37"/>
    </row>
    <row r="1351" spans="1:21" ht="15.6">
      <c r="A1351" s="37"/>
      <c r="B1351" s="37"/>
      <c r="C1351" s="37"/>
      <c r="D1351" s="37"/>
      <c r="E1351" s="37"/>
      <c r="F1351" s="46"/>
      <c r="G1351" s="37"/>
      <c r="H1351" s="37"/>
      <c r="I1351" s="37"/>
      <c r="J1351" s="37"/>
      <c r="K1351" s="37"/>
      <c r="L1351" s="37"/>
      <c r="M1351" s="37"/>
      <c r="N1351" s="37"/>
      <c r="O1351" s="37"/>
      <c r="P1351" s="37"/>
      <c r="Q1351" s="37"/>
      <c r="R1351" s="37"/>
      <c r="S1351" s="37"/>
      <c r="T1351" s="37"/>
      <c r="U1351" s="37"/>
    </row>
    <row r="1352" spans="1:21" ht="15.6">
      <c r="A1352" s="37"/>
      <c r="B1352" s="37"/>
      <c r="C1352" s="37"/>
      <c r="D1352" s="37"/>
      <c r="E1352" s="37"/>
      <c r="F1352" s="46"/>
      <c r="G1352" s="37"/>
      <c r="H1352" s="37"/>
      <c r="I1352" s="37"/>
      <c r="J1352" s="37"/>
      <c r="K1352" s="37"/>
      <c r="L1352" s="37"/>
      <c r="M1352" s="37"/>
      <c r="N1352" s="37"/>
      <c r="O1352" s="37"/>
      <c r="P1352" s="37"/>
      <c r="Q1352" s="37"/>
      <c r="R1352" s="37"/>
      <c r="S1352" s="37"/>
      <c r="T1352" s="37"/>
      <c r="U1352" s="37"/>
    </row>
    <row r="1353" spans="1:21" ht="15.6">
      <c r="A1353" s="37"/>
      <c r="B1353" s="37"/>
      <c r="C1353" s="37"/>
      <c r="D1353" s="37"/>
      <c r="E1353" s="37"/>
      <c r="F1353" s="46"/>
      <c r="G1353" s="37"/>
      <c r="H1353" s="37"/>
      <c r="I1353" s="37"/>
      <c r="J1353" s="37"/>
      <c r="K1353" s="37"/>
      <c r="L1353" s="37"/>
      <c r="M1353" s="37"/>
      <c r="N1353" s="37"/>
      <c r="O1353" s="37"/>
      <c r="P1353" s="37"/>
      <c r="Q1353" s="37"/>
      <c r="R1353" s="37"/>
      <c r="S1353" s="37"/>
      <c r="T1353" s="37"/>
      <c r="U1353" s="37"/>
    </row>
    <row r="1354" spans="1:21" ht="15.6">
      <c r="A1354" s="37"/>
      <c r="B1354" s="37"/>
      <c r="C1354" s="37"/>
      <c r="D1354" s="37"/>
      <c r="E1354" s="37"/>
      <c r="F1354" s="46"/>
      <c r="G1354" s="37"/>
      <c r="H1354" s="37"/>
      <c r="I1354" s="37"/>
      <c r="J1354" s="37"/>
      <c r="K1354" s="37"/>
      <c r="L1354" s="37"/>
      <c r="M1354" s="37"/>
      <c r="N1354" s="37"/>
      <c r="O1354" s="37"/>
      <c r="P1354" s="37"/>
      <c r="Q1354" s="37"/>
      <c r="R1354" s="37"/>
      <c r="S1354" s="37"/>
      <c r="T1354" s="37"/>
      <c r="U1354" s="37"/>
    </row>
    <row r="1355" spans="1:21" ht="15.6">
      <c r="A1355" s="37"/>
      <c r="B1355" s="37"/>
      <c r="C1355" s="37"/>
      <c r="D1355" s="37"/>
      <c r="E1355" s="37"/>
      <c r="F1355" s="46"/>
      <c r="G1355" s="37"/>
      <c r="H1355" s="37"/>
      <c r="I1355" s="37"/>
      <c r="J1355" s="37"/>
      <c r="K1355" s="37"/>
      <c r="L1355" s="37"/>
      <c r="M1355" s="37"/>
      <c r="N1355" s="37"/>
      <c r="O1355" s="37"/>
      <c r="P1355" s="37"/>
      <c r="Q1355" s="37"/>
      <c r="R1355" s="37"/>
      <c r="S1355" s="37"/>
      <c r="T1355" s="37"/>
      <c r="U1355" s="37"/>
    </row>
    <row r="1356" spans="1:21" ht="15.6">
      <c r="A1356" s="37"/>
      <c r="B1356" s="37"/>
      <c r="C1356" s="37"/>
      <c r="D1356" s="37"/>
      <c r="E1356" s="37"/>
      <c r="F1356" s="46"/>
      <c r="G1356" s="37"/>
      <c r="H1356" s="37"/>
      <c r="I1356" s="37"/>
      <c r="J1356" s="37"/>
      <c r="K1356" s="37"/>
      <c r="L1356" s="37"/>
      <c r="M1356" s="37"/>
      <c r="N1356" s="37"/>
      <c r="O1356" s="37"/>
      <c r="P1356" s="37"/>
      <c r="Q1356" s="37"/>
      <c r="R1356" s="37"/>
      <c r="S1356" s="37"/>
      <c r="T1356" s="37"/>
      <c r="U1356" s="37"/>
    </row>
    <row r="1357" spans="1:21" ht="15.6">
      <c r="A1357" s="37"/>
      <c r="B1357" s="37"/>
      <c r="C1357" s="37"/>
      <c r="D1357" s="37"/>
      <c r="E1357" s="37"/>
      <c r="F1357" s="46"/>
      <c r="G1357" s="37"/>
      <c r="H1357" s="37"/>
      <c r="I1357" s="37"/>
      <c r="J1357" s="37"/>
      <c r="K1357" s="37"/>
      <c r="L1357" s="37"/>
      <c r="M1357" s="37"/>
      <c r="N1357" s="37"/>
      <c r="O1357" s="37"/>
      <c r="P1357" s="37"/>
      <c r="Q1357" s="37"/>
      <c r="R1357" s="37"/>
      <c r="S1357" s="37"/>
      <c r="T1357" s="37"/>
      <c r="U1357" s="37"/>
    </row>
    <row r="1358" spans="1:21" ht="15.6">
      <c r="A1358" s="37"/>
      <c r="B1358" s="37"/>
      <c r="C1358" s="37"/>
      <c r="D1358" s="37"/>
      <c r="E1358" s="37"/>
      <c r="F1358" s="46"/>
      <c r="G1358" s="37"/>
      <c r="H1358" s="37"/>
      <c r="I1358" s="37"/>
      <c r="J1358" s="37"/>
      <c r="K1358" s="37"/>
      <c r="L1358" s="37"/>
      <c r="M1358" s="37"/>
      <c r="N1358" s="37"/>
      <c r="O1358" s="37"/>
      <c r="P1358" s="37"/>
      <c r="Q1358" s="37"/>
      <c r="R1358" s="37"/>
      <c r="S1358" s="37"/>
      <c r="T1358" s="37"/>
      <c r="U1358" s="37"/>
    </row>
    <row r="1359" spans="1:21" ht="15.6">
      <c r="A1359" s="37"/>
      <c r="B1359" s="37"/>
      <c r="C1359" s="37"/>
      <c r="D1359" s="37"/>
      <c r="E1359" s="37"/>
      <c r="F1359" s="46"/>
      <c r="G1359" s="37"/>
      <c r="H1359" s="37"/>
      <c r="I1359" s="37"/>
      <c r="J1359" s="37"/>
      <c r="K1359" s="37"/>
      <c r="L1359" s="37"/>
      <c r="M1359" s="37"/>
      <c r="N1359" s="37"/>
      <c r="O1359" s="37"/>
      <c r="P1359" s="37"/>
      <c r="Q1359" s="37"/>
      <c r="R1359" s="37"/>
      <c r="S1359" s="37"/>
      <c r="T1359" s="37"/>
      <c r="U1359" s="37"/>
    </row>
    <row r="1360" spans="1:21" ht="15.6">
      <c r="A1360" s="37"/>
      <c r="B1360" s="37"/>
      <c r="C1360" s="37"/>
      <c r="D1360" s="37"/>
      <c r="E1360" s="37"/>
      <c r="F1360" s="46"/>
      <c r="G1360" s="37"/>
      <c r="H1360" s="37"/>
      <c r="I1360" s="37"/>
      <c r="J1360" s="37"/>
      <c r="K1360" s="37"/>
      <c r="L1360" s="37"/>
      <c r="M1360" s="37"/>
      <c r="N1360" s="37"/>
      <c r="O1360" s="37"/>
      <c r="P1360" s="37"/>
      <c r="Q1360" s="37"/>
      <c r="R1360" s="37"/>
      <c r="S1360" s="37"/>
      <c r="T1360" s="37"/>
      <c r="U1360" s="37"/>
    </row>
    <row r="1361" spans="1:21" ht="15.6">
      <c r="A1361" s="37"/>
      <c r="B1361" s="37"/>
      <c r="C1361" s="37"/>
      <c r="D1361" s="37"/>
      <c r="E1361" s="37"/>
      <c r="F1361" s="46"/>
      <c r="G1361" s="37"/>
      <c r="H1361" s="37"/>
      <c r="I1361" s="37"/>
      <c r="J1361" s="37"/>
      <c r="K1361" s="37"/>
      <c r="L1361" s="37"/>
      <c r="M1361" s="37"/>
      <c r="N1361" s="37"/>
      <c r="O1361" s="37"/>
      <c r="P1361" s="37"/>
      <c r="Q1361" s="37"/>
      <c r="R1361" s="37"/>
      <c r="S1361" s="37"/>
      <c r="T1361" s="37"/>
      <c r="U1361" s="37"/>
    </row>
    <row r="1362" spans="1:21" ht="15.6">
      <c r="A1362" s="37"/>
      <c r="B1362" s="37"/>
      <c r="C1362" s="37"/>
      <c r="D1362" s="37"/>
      <c r="E1362" s="37"/>
      <c r="F1362" s="46"/>
      <c r="G1362" s="37"/>
      <c r="H1362" s="37"/>
      <c r="I1362" s="37"/>
      <c r="J1362" s="37"/>
      <c r="K1362" s="37"/>
      <c r="L1362" s="37"/>
      <c r="M1362" s="37"/>
      <c r="N1362" s="37"/>
      <c r="O1362" s="37"/>
      <c r="P1362" s="37"/>
      <c r="Q1362" s="37"/>
      <c r="R1362" s="37"/>
      <c r="S1362" s="37"/>
      <c r="T1362" s="37"/>
      <c r="U1362" s="37"/>
    </row>
    <row r="1363" spans="1:21" ht="15.6">
      <c r="A1363" s="37"/>
      <c r="B1363" s="37"/>
      <c r="C1363" s="37"/>
      <c r="D1363" s="37"/>
      <c r="E1363" s="37"/>
      <c r="F1363" s="46"/>
      <c r="G1363" s="37"/>
      <c r="H1363" s="37"/>
      <c r="I1363" s="37"/>
      <c r="J1363" s="37"/>
      <c r="K1363" s="37"/>
      <c r="L1363" s="37"/>
      <c r="M1363" s="37"/>
      <c r="N1363" s="37"/>
      <c r="O1363" s="37"/>
      <c r="P1363" s="37"/>
      <c r="Q1363" s="37"/>
      <c r="R1363" s="37"/>
      <c r="S1363" s="37"/>
      <c r="T1363" s="37"/>
      <c r="U1363" s="37"/>
    </row>
    <row r="1364" spans="1:21" ht="15.6">
      <c r="A1364" s="37"/>
      <c r="B1364" s="37"/>
      <c r="C1364" s="37"/>
      <c r="D1364" s="37"/>
      <c r="E1364" s="37"/>
      <c r="F1364" s="46"/>
      <c r="G1364" s="37"/>
      <c r="H1364" s="37"/>
      <c r="I1364" s="37"/>
      <c r="J1364" s="37"/>
      <c r="K1364" s="37"/>
      <c r="L1364" s="37"/>
      <c r="M1364" s="37"/>
      <c r="N1364" s="37"/>
      <c r="O1364" s="37"/>
      <c r="P1364" s="37"/>
      <c r="Q1364" s="37"/>
      <c r="R1364" s="37"/>
      <c r="S1364" s="37"/>
      <c r="T1364" s="37"/>
      <c r="U1364" s="37"/>
    </row>
    <row r="1365" spans="1:21" ht="15.6">
      <c r="A1365" s="37"/>
      <c r="B1365" s="37"/>
      <c r="C1365" s="37"/>
      <c r="D1365" s="37"/>
      <c r="E1365" s="37"/>
      <c r="F1365" s="46"/>
      <c r="G1365" s="37"/>
      <c r="H1365" s="37"/>
      <c r="I1365" s="37"/>
      <c r="J1365" s="37"/>
      <c r="K1365" s="37"/>
      <c r="L1365" s="37"/>
      <c r="M1365" s="37"/>
      <c r="N1365" s="37"/>
      <c r="O1365" s="37"/>
      <c r="P1365" s="37"/>
      <c r="Q1365" s="37"/>
      <c r="R1365" s="37"/>
      <c r="S1365" s="37"/>
      <c r="T1365" s="37"/>
      <c r="U1365" s="37"/>
    </row>
    <row r="1366" spans="1:21" ht="15.6">
      <c r="A1366" s="37"/>
      <c r="B1366" s="37"/>
      <c r="C1366" s="37"/>
      <c r="D1366" s="37"/>
      <c r="E1366" s="37"/>
      <c r="F1366" s="46"/>
      <c r="G1366" s="37"/>
      <c r="H1366" s="37"/>
      <c r="I1366" s="37"/>
      <c r="J1366" s="37"/>
      <c r="K1366" s="37"/>
      <c r="L1366" s="37"/>
      <c r="M1366" s="37"/>
      <c r="N1366" s="37"/>
      <c r="O1366" s="37"/>
      <c r="P1366" s="37"/>
      <c r="Q1366" s="37"/>
      <c r="R1366" s="37"/>
      <c r="S1366" s="37"/>
      <c r="T1366" s="37"/>
      <c r="U1366" s="37"/>
    </row>
    <row r="1367" spans="1:21" ht="15.6">
      <c r="A1367" s="37"/>
      <c r="B1367" s="37"/>
      <c r="C1367" s="37"/>
      <c r="D1367" s="37"/>
      <c r="E1367" s="37"/>
      <c r="F1367" s="46"/>
      <c r="G1367" s="37"/>
      <c r="H1367" s="37"/>
      <c r="I1367" s="37"/>
      <c r="J1367" s="37"/>
      <c r="K1367" s="37"/>
      <c r="L1367" s="37"/>
      <c r="M1367" s="37"/>
      <c r="N1367" s="37"/>
      <c r="O1367" s="37"/>
      <c r="P1367" s="37"/>
      <c r="Q1367" s="37"/>
      <c r="R1367" s="37"/>
      <c r="S1367" s="37"/>
      <c r="T1367" s="37"/>
      <c r="U1367" s="37"/>
    </row>
    <row r="1368" spans="1:21" ht="15.6">
      <c r="A1368" s="37"/>
      <c r="B1368" s="37"/>
      <c r="C1368" s="37"/>
      <c r="D1368" s="37"/>
      <c r="E1368" s="37"/>
      <c r="F1368" s="46"/>
      <c r="G1368" s="37"/>
      <c r="H1368" s="37"/>
      <c r="I1368" s="37"/>
      <c r="J1368" s="37"/>
      <c r="K1368" s="37"/>
      <c r="L1368" s="37"/>
      <c r="M1368" s="37"/>
      <c r="N1368" s="37"/>
      <c r="O1368" s="37"/>
      <c r="P1368" s="37"/>
      <c r="Q1368" s="37"/>
      <c r="R1368" s="37"/>
      <c r="S1368" s="37"/>
      <c r="T1368" s="37"/>
      <c r="U1368" s="37"/>
    </row>
    <row r="1369" spans="1:21" ht="15.6">
      <c r="A1369" s="37"/>
      <c r="B1369" s="37"/>
      <c r="C1369" s="37"/>
      <c r="D1369" s="37"/>
      <c r="E1369" s="37"/>
      <c r="F1369" s="46"/>
      <c r="G1369" s="37"/>
      <c r="H1369" s="37"/>
      <c r="I1369" s="37"/>
      <c r="J1369" s="37"/>
      <c r="K1369" s="37"/>
      <c r="L1369" s="37"/>
      <c r="M1369" s="37"/>
      <c r="N1369" s="37"/>
      <c r="O1369" s="37"/>
      <c r="P1369" s="37"/>
      <c r="Q1369" s="37"/>
      <c r="R1369" s="37"/>
      <c r="S1369" s="37"/>
      <c r="T1369" s="37"/>
      <c r="U1369" s="37"/>
    </row>
    <row r="1370" spans="1:21" ht="15.6">
      <c r="A1370" s="37"/>
      <c r="B1370" s="37"/>
      <c r="C1370" s="37"/>
      <c r="D1370" s="37"/>
      <c r="E1370" s="37"/>
      <c r="F1370" s="46"/>
      <c r="G1370" s="37"/>
      <c r="H1370" s="37"/>
      <c r="I1370" s="37"/>
      <c r="J1370" s="37"/>
      <c r="K1370" s="37"/>
      <c r="L1370" s="37"/>
      <c r="M1370" s="37"/>
      <c r="N1370" s="37"/>
      <c r="O1370" s="37"/>
      <c r="P1370" s="37"/>
      <c r="Q1370" s="37"/>
      <c r="R1370" s="37"/>
      <c r="S1370" s="37"/>
      <c r="T1370" s="37"/>
      <c r="U1370" s="37"/>
    </row>
    <row r="1371" spans="1:21" ht="15.6">
      <c r="A1371" s="37"/>
      <c r="B1371" s="37"/>
      <c r="C1371" s="37"/>
      <c r="D1371" s="37"/>
      <c r="E1371" s="37"/>
      <c r="F1371" s="46"/>
      <c r="G1371" s="37"/>
      <c r="H1371" s="37"/>
      <c r="I1371" s="37"/>
      <c r="J1371" s="37"/>
      <c r="K1371" s="37"/>
      <c r="L1371" s="37"/>
      <c r="M1371" s="37"/>
      <c r="N1371" s="37"/>
      <c r="O1371" s="37"/>
      <c r="P1371" s="37"/>
      <c r="Q1371" s="37"/>
      <c r="R1371" s="37"/>
      <c r="S1371" s="37"/>
      <c r="T1371" s="37"/>
      <c r="U1371" s="37"/>
    </row>
    <row r="1372" spans="1:21" ht="15.6">
      <c r="A1372" s="37"/>
      <c r="B1372" s="37"/>
      <c r="C1372" s="37"/>
      <c r="D1372" s="37"/>
      <c r="E1372" s="37"/>
      <c r="F1372" s="46"/>
      <c r="G1372" s="37"/>
      <c r="H1372" s="37"/>
      <c r="I1372" s="37"/>
      <c r="J1372" s="37"/>
      <c r="K1372" s="37"/>
      <c r="L1372" s="37"/>
      <c r="M1372" s="37"/>
      <c r="N1372" s="37"/>
      <c r="O1372" s="37"/>
      <c r="P1372" s="37"/>
      <c r="Q1372" s="37"/>
      <c r="R1372" s="37"/>
      <c r="S1372" s="37"/>
      <c r="T1372" s="37"/>
      <c r="U1372" s="37"/>
    </row>
    <row r="1373" spans="1:21" ht="15.6">
      <c r="A1373" s="37"/>
      <c r="B1373" s="37"/>
      <c r="C1373" s="37"/>
      <c r="D1373" s="37"/>
      <c r="E1373" s="37"/>
      <c r="F1373" s="46"/>
      <c r="G1373" s="37"/>
      <c r="H1373" s="37"/>
      <c r="I1373" s="37"/>
      <c r="J1373" s="37"/>
      <c r="K1373" s="37"/>
      <c r="L1373" s="37"/>
      <c r="M1373" s="37"/>
      <c r="N1373" s="37"/>
      <c r="O1373" s="37"/>
      <c r="P1373" s="37"/>
      <c r="Q1373" s="37"/>
      <c r="R1373" s="37"/>
      <c r="S1373" s="37"/>
      <c r="T1373" s="37"/>
      <c r="U1373" s="37"/>
    </row>
    <row r="1374" spans="1:21" ht="15.6">
      <c r="A1374" s="37"/>
      <c r="B1374" s="37"/>
      <c r="C1374" s="37"/>
      <c r="D1374" s="37"/>
      <c r="E1374" s="37"/>
      <c r="F1374" s="46"/>
      <c r="G1374" s="37"/>
      <c r="H1374" s="37"/>
      <c r="I1374" s="37"/>
      <c r="J1374" s="37"/>
      <c r="K1374" s="37"/>
      <c r="L1374" s="37"/>
      <c r="M1374" s="37"/>
      <c r="N1374" s="37"/>
      <c r="O1374" s="37"/>
      <c r="P1374" s="37"/>
      <c r="Q1374" s="37"/>
      <c r="R1374" s="37"/>
      <c r="S1374" s="37"/>
      <c r="T1374" s="37"/>
      <c r="U1374" s="37"/>
    </row>
    <row r="1375" spans="1:21" ht="15.6">
      <c r="A1375" s="37"/>
      <c r="B1375" s="37"/>
      <c r="C1375" s="37"/>
      <c r="D1375" s="37"/>
      <c r="E1375" s="37"/>
      <c r="F1375" s="46"/>
      <c r="G1375" s="37"/>
      <c r="H1375" s="37"/>
      <c r="I1375" s="37"/>
      <c r="J1375" s="37"/>
      <c r="K1375" s="37"/>
      <c r="L1375" s="37"/>
      <c r="M1375" s="37"/>
      <c r="N1375" s="37"/>
      <c r="O1375" s="37"/>
      <c r="P1375" s="37"/>
      <c r="Q1375" s="37"/>
      <c r="R1375" s="37"/>
      <c r="S1375" s="37"/>
      <c r="T1375" s="37"/>
      <c r="U1375" s="37"/>
    </row>
    <row r="1376" spans="1:21" ht="15.6">
      <c r="A1376" s="37"/>
      <c r="B1376" s="37"/>
      <c r="C1376" s="37"/>
      <c r="D1376" s="37"/>
      <c r="E1376" s="37"/>
      <c r="F1376" s="46"/>
      <c r="G1376" s="37"/>
      <c r="H1376" s="37"/>
      <c r="I1376" s="37"/>
      <c r="J1376" s="37"/>
      <c r="K1376" s="37"/>
      <c r="L1376" s="37"/>
      <c r="M1376" s="37"/>
      <c r="N1376" s="37"/>
      <c r="O1376" s="37"/>
      <c r="P1376" s="37"/>
      <c r="Q1376" s="37"/>
      <c r="R1376" s="37"/>
      <c r="S1376" s="37"/>
      <c r="T1376" s="37"/>
      <c r="U1376" s="37"/>
    </row>
    <row r="1377" spans="1:21" ht="15.6">
      <c r="A1377" s="37"/>
      <c r="B1377" s="37"/>
      <c r="C1377" s="37"/>
      <c r="D1377" s="37"/>
      <c r="E1377" s="37"/>
      <c r="F1377" s="46"/>
      <c r="G1377" s="37"/>
      <c r="H1377" s="37"/>
      <c r="I1377" s="37"/>
      <c r="J1377" s="37"/>
      <c r="K1377" s="37"/>
      <c r="L1377" s="37"/>
      <c r="M1377" s="37"/>
      <c r="N1377" s="37"/>
      <c r="O1377" s="37"/>
      <c r="P1377" s="37"/>
      <c r="Q1377" s="37"/>
      <c r="R1377" s="37"/>
      <c r="S1377" s="37"/>
      <c r="T1377" s="37"/>
      <c r="U1377" s="37"/>
    </row>
    <row r="1378" spans="1:21" ht="15.6">
      <c r="A1378" s="37"/>
      <c r="B1378" s="37"/>
      <c r="C1378" s="37"/>
      <c r="D1378" s="37"/>
      <c r="E1378" s="37"/>
      <c r="F1378" s="46"/>
      <c r="G1378" s="37"/>
      <c r="H1378" s="37"/>
      <c r="I1378" s="37"/>
      <c r="J1378" s="37"/>
      <c r="K1378" s="37"/>
      <c r="L1378" s="37"/>
      <c r="M1378" s="37"/>
      <c r="N1378" s="37"/>
      <c r="O1378" s="37"/>
      <c r="P1378" s="37"/>
      <c r="Q1378" s="37"/>
      <c r="R1378" s="37"/>
      <c r="S1378" s="37"/>
      <c r="T1378" s="37"/>
      <c r="U1378" s="37"/>
    </row>
    <row r="1379" spans="1:21" ht="15.6">
      <c r="A1379" s="37"/>
      <c r="B1379" s="37"/>
      <c r="C1379" s="37"/>
      <c r="D1379" s="37"/>
      <c r="E1379" s="37"/>
      <c r="F1379" s="46"/>
      <c r="G1379" s="37"/>
      <c r="H1379" s="37"/>
      <c r="I1379" s="37"/>
      <c r="J1379" s="37"/>
      <c r="K1379" s="37"/>
      <c r="L1379" s="37"/>
      <c r="M1379" s="37"/>
      <c r="N1379" s="37"/>
      <c r="O1379" s="37"/>
      <c r="P1379" s="37"/>
      <c r="Q1379" s="37"/>
      <c r="R1379" s="37"/>
      <c r="S1379" s="37"/>
      <c r="T1379" s="37"/>
      <c r="U1379" s="37"/>
    </row>
    <row r="1380" spans="1:21" ht="15.6">
      <c r="A1380" s="37"/>
      <c r="B1380" s="37"/>
      <c r="C1380" s="37"/>
      <c r="D1380" s="37"/>
      <c r="E1380" s="37"/>
      <c r="F1380" s="46"/>
      <c r="G1380" s="37"/>
      <c r="H1380" s="37"/>
      <c r="I1380" s="37"/>
      <c r="J1380" s="37"/>
      <c r="K1380" s="37"/>
      <c r="L1380" s="37"/>
      <c r="M1380" s="37"/>
      <c r="N1380" s="37"/>
      <c r="O1380" s="37"/>
      <c r="P1380" s="37"/>
      <c r="Q1380" s="37"/>
      <c r="R1380" s="37"/>
      <c r="S1380" s="37"/>
      <c r="T1380" s="37"/>
      <c r="U1380" s="37"/>
    </row>
    <row r="1381" spans="1:21" ht="15.6">
      <c r="A1381" s="37"/>
      <c r="B1381" s="37"/>
      <c r="C1381" s="37"/>
      <c r="D1381" s="37"/>
      <c r="E1381" s="37"/>
      <c r="F1381" s="46"/>
      <c r="G1381" s="37"/>
      <c r="H1381" s="37"/>
      <c r="I1381" s="37"/>
      <c r="J1381" s="37"/>
      <c r="K1381" s="37"/>
      <c r="L1381" s="37"/>
      <c r="M1381" s="37"/>
      <c r="N1381" s="37"/>
      <c r="O1381" s="37"/>
      <c r="P1381" s="37"/>
      <c r="Q1381" s="37"/>
      <c r="R1381" s="37"/>
      <c r="S1381" s="37"/>
      <c r="T1381" s="37"/>
      <c r="U1381" s="37"/>
    </row>
    <row r="1382" spans="1:21" ht="15.6">
      <c r="A1382" s="37"/>
      <c r="B1382" s="37"/>
      <c r="C1382" s="37"/>
      <c r="D1382" s="37"/>
      <c r="E1382" s="37"/>
      <c r="F1382" s="46"/>
      <c r="G1382" s="37"/>
      <c r="H1382" s="37"/>
      <c r="I1382" s="37"/>
      <c r="J1382" s="37"/>
      <c r="K1382" s="37"/>
      <c r="L1382" s="37"/>
      <c r="M1382" s="37"/>
      <c r="N1382" s="37"/>
      <c r="O1382" s="37"/>
      <c r="P1382" s="37"/>
      <c r="Q1382" s="37"/>
      <c r="R1382" s="37"/>
      <c r="S1382" s="37"/>
      <c r="T1382" s="37"/>
      <c r="U1382" s="37"/>
    </row>
    <row r="1383" spans="1:21" ht="15.6">
      <c r="A1383" s="37"/>
      <c r="B1383" s="37"/>
      <c r="C1383" s="37"/>
      <c r="D1383" s="37"/>
      <c r="E1383" s="37"/>
      <c r="F1383" s="46"/>
      <c r="G1383" s="37"/>
      <c r="H1383" s="37"/>
      <c r="I1383" s="37"/>
      <c r="J1383" s="37"/>
      <c r="K1383" s="37"/>
      <c r="L1383" s="37"/>
      <c r="M1383" s="37"/>
      <c r="N1383" s="37"/>
      <c r="O1383" s="37"/>
      <c r="P1383" s="37"/>
      <c r="Q1383" s="37"/>
      <c r="R1383" s="37"/>
      <c r="S1383" s="37"/>
      <c r="T1383" s="37"/>
      <c r="U1383" s="37"/>
    </row>
    <row r="1384" spans="1:21" ht="15.6">
      <c r="A1384" s="37"/>
      <c r="B1384" s="37"/>
      <c r="C1384" s="37"/>
      <c r="D1384" s="37"/>
      <c r="E1384" s="37"/>
      <c r="F1384" s="46"/>
      <c r="G1384" s="37"/>
      <c r="H1384" s="37"/>
      <c r="I1384" s="37"/>
      <c r="J1384" s="37"/>
      <c r="K1384" s="37"/>
      <c r="L1384" s="37"/>
      <c r="M1384" s="37"/>
      <c r="N1384" s="37"/>
      <c r="O1384" s="37"/>
      <c r="P1384" s="37"/>
      <c r="Q1384" s="37"/>
      <c r="R1384" s="37"/>
      <c r="S1384" s="37"/>
      <c r="T1384" s="37"/>
      <c r="U1384" s="37"/>
    </row>
    <row r="1385" spans="1:21" ht="15.6">
      <c r="A1385" s="37"/>
      <c r="B1385" s="37"/>
      <c r="C1385" s="37"/>
      <c r="D1385" s="37"/>
      <c r="E1385" s="37"/>
      <c r="F1385" s="46"/>
      <c r="G1385" s="37"/>
      <c r="H1385" s="37"/>
      <c r="I1385" s="37"/>
      <c r="J1385" s="37"/>
      <c r="K1385" s="37"/>
      <c r="L1385" s="37"/>
      <c r="M1385" s="37"/>
      <c r="N1385" s="37"/>
      <c r="O1385" s="37"/>
      <c r="P1385" s="37"/>
      <c r="Q1385" s="37"/>
      <c r="R1385" s="37"/>
      <c r="S1385" s="37"/>
      <c r="T1385" s="37"/>
      <c r="U1385" s="37"/>
    </row>
    <row r="1386" spans="1:21" ht="15.6">
      <c r="A1386" s="37"/>
      <c r="B1386" s="37"/>
      <c r="C1386" s="37"/>
      <c r="D1386" s="37"/>
      <c r="E1386" s="37"/>
      <c r="F1386" s="46"/>
      <c r="G1386" s="37"/>
      <c r="H1386" s="37"/>
      <c r="I1386" s="37"/>
      <c r="J1386" s="37"/>
      <c r="K1386" s="37"/>
      <c r="L1386" s="37"/>
      <c r="M1386" s="37"/>
      <c r="N1386" s="37"/>
      <c r="O1386" s="37"/>
      <c r="P1386" s="37"/>
      <c r="Q1386" s="37"/>
      <c r="R1386" s="37"/>
      <c r="S1386" s="37"/>
      <c r="T1386" s="37"/>
      <c r="U1386" s="37"/>
    </row>
    <row r="1387" spans="1:21" ht="15.6">
      <c r="A1387" s="37"/>
      <c r="B1387" s="37"/>
      <c r="C1387" s="37"/>
      <c r="D1387" s="37"/>
      <c r="E1387" s="37"/>
      <c r="F1387" s="46"/>
      <c r="G1387" s="37"/>
      <c r="H1387" s="37"/>
      <c r="I1387" s="37"/>
      <c r="J1387" s="37"/>
      <c r="K1387" s="37"/>
      <c r="L1387" s="37"/>
      <c r="M1387" s="37"/>
      <c r="N1387" s="37"/>
      <c r="O1387" s="37"/>
      <c r="P1387" s="37"/>
      <c r="Q1387" s="37"/>
      <c r="R1387" s="37"/>
      <c r="S1387" s="37"/>
      <c r="T1387" s="37"/>
      <c r="U1387" s="37"/>
    </row>
    <row r="1388" spans="1:21" ht="15.6">
      <c r="A1388" s="37"/>
      <c r="B1388" s="37"/>
      <c r="C1388" s="37"/>
      <c r="D1388" s="37"/>
      <c r="E1388" s="37"/>
      <c r="F1388" s="46"/>
      <c r="G1388" s="37"/>
      <c r="H1388" s="37"/>
      <c r="I1388" s="37"/>
      <c r="J1388" s="37"/>
      <c r="K1388" s="37"/>
      <c r="L1388" s="37"/>
      <c r="M1388" s="37"/>
      <c r="N1388" s="37"/>
      <c r="O1388" s="37"/>
      <c r="P1388" s="37"/>
      <c r="Q1388" s="37"/>
      <c r="R1388" s="37"/>
      <c r="S1388" s="37"/>
      <c r="T1388" s="37"/>
      <c r="U1388" s="37"/>
    </row>
    <row r="1389" spans="1:21" ht="15.6">
      <c r="A1389" s="37"/>
      <c r="B1389" s="37"/>
      <c r="C1389" s="37"/>
      <c r="D1389" s="37"/>
      <c r="E1389" s="37"/>
      <c r="F1389" s="46"/>
      <c r="G1389" s="37"/>
      <c r="H1389" s="37"/>
      <c r="I1389" s="37"/>
      <c r="J1389" s="37"/>
      <c r="K1389" s="37"/>
      <c r="L1389" s="37"/>
      <c r="M1389" s="37"/>
      <c r="N1389" s="37"/>
      <c r="O1389" s="37"/>
      <c r="P1389" s="37"/>
      <c r="Q1389" s="37"/>
      <c r="R1389" s="37"/>
      <c r="S1389" s="37"/>
      <c r="T1389" s="37"/>
      <c r="U1389" s="37"/>
    </row>
    <row r="1390" spans="1:21" ht="15.6">
      <c r="A1390" s="37"/>
      <c r="B1390" s="37"/>
      <c r="C1390" s="37"/>
      <c r="D1390" s="37"/>
      <c r="E1390" s="37"/>
      <c r="F1390" s="46"/>
      <c r="G1390" s="37"/>
      <c r="H1390" s="37"/>
      <c r="I1390" s="37"/>
      <c r="J1390" s="37"/>
      <c r="K1390" s="37"/>
      <c r="L1390" s="37"/>
      <c r="M1390" s="37"/>
      <c r="N1390" s="37"/>
      <c r="O1390" s="37"/>
      <c r="P1390" s="37"/>
      <c r="Q1390" s="37"/>
      <c r="R1390" s="37"/>
      <c r="S1390" s="37"/>
      <c r="T1390" s="37"/>
      <c r="U1390" s="37"/>
    </row>
    <row r="1391" spans="1:21" ht="15.6">
      <c r="A1391" s="37"/>
      <c r="B1391" s="37"/>
      <c r="C1391" s="37"/>
      <c r="D1391" s="37"/>
      <c r="E1391" s="37"/>
      <c r="F1391" s="46"/>
      <c r="G1391" s="37"/>
      <c r="H1391" s="37"/>
      <c r="I1391" s="37"/>
      <c r="J1391" s="37"/>
      <c r="K1391" s="37"/>
      <c r="L1391" s="37"/>
      <c r="M1391" s="37"/>
      <c r="N1391" s="37"/>
      <c r="O1391" s="37"/>
      <c r="P1391" s="37"/>
      <c r="Q1391" s="37"/>
      <c r="R1391" s="37"/>
      <c r="S1391" s="37"/>
      <c r="T1391" s="37"/>
      <c r="U1391" s="37"/>
    </row>
    <row r="1392" spans="1:21" ht="15.6">
      <c r="A1392" s="37"/>
      <c r="B1392" s="37"/>
      <c r="C1392" s="37"/>
      <c r="D1392" s="37"/>
      <c r="E1392" s="37"/>
      <c r="F1392" s="46"/>
      <c r="G1392" s="37"/>
      <c r="H1392" s="37"/>
      <c r="I1392" s="37"/>
      <c r="J1392" s="37"/>
      <c r="K1392" s="37"/>
      <c r="L1392" s="37"/>
      <c r="M1392" s="37"/>
      <c r="N1392" s="37"/>
      <c r="O1392" s="37"/>
      <c r="P1392" s="37"/>
      <c r="Q1392" s="37"/>
      <c r="R1392" s="37"/>
      <c r="S1392" s="37"/>
      <c r="T1392" s="37"/>
      <c r="U1392" s="37"/>
    </row>
    <row r="1393" spans="1:21" ht="15.6">
      <c r="A1393" s="37"/>
      <c r="B1393" s="37"/>
      <c r="C1393" s="37"/>
      <c r="D1393" s="37"/>
      <c r="E1393" s="37"/>
      <c r="F1393" s="46"/>
      <c r="G1393" s="37"/>
      <c r="H1393" s="37"/>
      <c r="I1393" s="37"/>
      <c r="J1393" s="37"/>
      <c r="K1393" s="37"/>
      <c r="L1393" s="37"/>
      <c r="M1393" s="37"/>
      <c r="N1393" s="37"/>
      <c r="O1393" s="37"/>
      <c r="P1393" s="37"/>
      <c r="Q1393" s="37"/>
      <c r="R1393" s="37"/>
      <c r="S1393" s="37"/>
      <c r="T1393" s="37"/>
      <c r="U1393" s="37"/>
    </row>
    <row r="1394" spans="1:21" ht="15.6">
      <c r="A1394" s="37"/>
      <c r="B1394" s="37"/>
      <c r="C1394" s="37"/>
      <c r="D1394" s="37"/>
      <c r="E1394" s="37"/>
      <c r="F1394" s="46"/>
      <c r="G1394" s="37"/>
      <c r="H1394" s="37"/>
      <c r="I1394" s="37"/>
      <c r="J1394" s="37"/>
      <c r="K1394" s="37"/>
      <c r="L1394" s="37"/>
      <c r="M1394" s="37"/>
      <c r="N1394" s="37"/>
      <c r="O1394" s="37"/>
      <c r="P1394" s="37"/>
      <c r="Q1394" s="37"/>
      <c r="R1394" s="37"/>
      <c r="S1394" s="37"/>
      <c r="T1394" s="37"/>
      <c r="U1394" s="37"/>
    </row>
    <row r="1395" spans="1:21" ht="15.6">
      <c r="A1395" s="37"/>
      <c r="B1395" s="37"/>
      <c r="C1395" s="37"/>
      <c r="D1395" s="37"/>
      <c r="E1395" s="37"/>
      <c r="F1395" s="46"/>
      <c r="G1395" s="37"/>
      <c r="H1395" s="37"/>
      <c r="I1395" s="37"/>
      <c r="J1395" s="37"/>
      <c r="K1395" s="37"/>
      <c r="L1395" s="37"/>
      <c r="M1395" s="37"/>
      <c r="N1395" s="37"/>
      <c r="O1395" s="37"/>
      <c r="P1395" s="37"/>
      <c r="Q1395" s="37"/>
      <c r="R1395" s="37"/>
      <c r="S1395" s="37"/>
      <c r="T1395" s="37"/>
      <c r="U1395" s="37"/>
    </row>
    <row r="1396" spans="1:21" ht="15.6">
      <c r="A1396" s="37"/>
      <c r="B1396" s="37"/>
      <c r="C1396" s="37"/>
      <c r="D1396" s="37"/>
      <c r="E1396" s="37"/>
      <c r="F1396" s="46"/>
      <c r="G1396" s="37"/>
      <c r="H1396" s="37"/>
      <c r="I1396" s="37"/>
      <c r="J1396" s="37"/>
      <c r="K1396" s="37"/>
      <c r="L1396" s="37"/>
      <c r="M1396" s="37"/>
      <c r="N1396" s="37"/>
      <c r="O1396" s="37"/>
      <c r="P1396" s="37"/>
      <c r="Q1396" s="37"/>
      <c r="R1396" s="37"/>
      <c r="S1396" s="37"/>
      <c r="T1396" s="37"/>
      <c r="U1396" s="37"/>
    </row>
    <row r="1397" spans="1:21" ht="15.6">
      <c r="A1397" s="37"/>
      <c r="B1397" s="37"/>
      <c r="C1397" s="37"/>
      <c r="D1397" s="37"/>
      <c r="E1397" s="37"/>
      <c r="F1397" s="46"/>
      <c r="G1397" s="37"/>
      <c r="H1397" s="37"/>
      <c r="I1397" s="37"/>
      <c r="J1397" s="37"/>
      <c r="K1397" s="37"/>
      <c r="L1397" s="37"/>
      <c r="M1397" s="37"/>
      <c r="N1397" s="37"/>
      <c r="O1397" s="37"/>
      <c r="P1397" s="37"/>
      <c r="Q1397" s="37"/>
      <c r="R1397" s="37"/>
      <c r="S1397" s="37"/>
      <c r="T1397" s="37"/>
      <c r="U1397" s="37"/>
    </row>
    <row r="1398" spans="1:21" ht="15.6">
      <c r="A1398" s="37"/>
      <c r="B1398" s="37"/>
      <c r="C1398" s="37"/>
      <c r="D1398" s="37"/>
      <c r="E1398" s="37"/>
      <c r="F1398" s="46"/>
      <c r="G1398" s="37"/>
      <c r="H1398" s="37"/>
      <c r="I1398" s="37"/>
      <c r="J1398" s="37"/>
      <c r="K1398" s="37"/>
      <c r="L1398" s="37"/>
      <c r="M1398" s="37"/>
      <c r="N1398" s="37"/>
      <c r="O1398" s="37"/>
      <c r="P1398" s="37"/>
      <c r="Q1398" s="37"/>
      <c r="R1398" s="37"/>
      <c r="S1398" s="37"/>
      <c r="T1398" s="37"/>
      <c r="U1398" s="37"/>
    </row>
    <row r="1399" spans="1:21" ht="15.6">
      <c r="A1399" s="37"/>
      <c r="B1399" s="37"/>
      <c r="C1399" s="37"/>
      <c r="D1399" s="37"/>
      <c r="E1399" s="37"/>
      <c r="F1399" s="46"/>
      <c r="G1399" s="37"/>
      <c r="H1399" s="37"/>
      <c r="I1399" s="37"/>
      <c r="J1399" s="37"/>
      <c r="K1399" s="37"/>
      <c r="L1399" s="37"/>
      <c r="M1399" s="37"/>
      <c r="N1399" s="37"/>
      <c r="O1399" s="37"/>
      <c r="P1399" s="37"/>
      <c r="Q1399" s="37"/>
      <c r="R1399" s="37"/>
      <c r="S1399" s="37"/>
      <c r="T1399" s="37"/>
      <c r="U1399" s="37"/>
    </row>
    <row r="1400" spans="1:21" ht="15.6">
      <c r="A1400" s="37"/>
      <c r="B1400" s="37"/>
      <c r="C1400" s="37"/>
      <c r="D1400" s="37"/>
      <c r="E1400" s="37"/>
      <c r="F1400" s="46"/>
      <c r="G1400" s="37"/>
      <c r="H1400" s="37"/>
      <c r="I1400" s="37"/>
      <c r="J1400" s="37"/>
      <c r="K1400" s="37"/>
      <c r="L1400" s="37"/>
      <c r="M1400" s="37"/>
      <c r="N1400" s="37"/>
      <c r="O1400" s="37"/>
      <c r="P1400" s="37"/>
      <c r="Q1400" s="37"/>
      <c r="R1400" s="37"/>
      <c r="S1400" s="37"/>
      <c r="T1400" s="37"/>
      <c r="U1400" s="37"/>
    </row>
    <row r="1401" spans="1:21" ht="15.6">
      <c r="A1401" s="37"/>
      <c r="B1401" s="37"/>
      <c r="C1401" s="37"/>
      <c r="D1401" s="37"/>
      <c r="E1401" s="37"/>
      <c r="F1401" s="46"/>
      <c r="G1401" s="37"/>
      <c r="H1401" s="37"/>
      <c r="I1401" s="37"/>
      <c r="J1401" s="37"/>
      <c r="K1401" s="37"/>
      <c r="L1401" s="37"/>
      <c r="M1401" s="37"/>
      <c r="N1401" s="37"/>
      <c r="O1401" s="37"/>
      <c r="P1401" s="37"/>
      <c r="Q1401" s="37"/>
      <c r="R1401" s="37"/>
      <c r="S1401" s="37"/>
      <c r="T1401" s="37"/>
      <c r="U1401" s="37"/>
    </row>
    <row r="1402" spans="1:21" ht="15.6">
      <c r="A1402" s="37"/>
      <c r="B1402" s="37"/>
      <c r="C1402" s="37"/>
      <c r="D1402" s="37"/>
      <c r="E1402" s="37"/>
      <c r="F1402" s="46"/>
      <c r="G1402" s="37"/>
      <c r="H1402" s="37"/>
      <c r="I1402" s="37"/>
      <c r="J1402" s="37"/>
      <c r="K1402" s="37"/>
      <c r="L1402" s="37"/>
      <c r="M1402" s="37"/>
      <c r="N1402" s="37"/>
      <c r="O1402" s="37"/>
      <c r="P1402" s="37"/>
      <c r="Q1402" s="37"/>
      <c r="R1402" s="37"/>
      <c r="S1402" s="37"/>
      <c r="T1402" s="37"/>
      <c r="U1402" s="37"/>
    </row>
    <row r="1403" spans="1:21" ht="15.6">
      <c r="A1403" s="37"/>
      <c r="B1403" s="37"/>
      <c r="C1403" s="37"/>
      <c r="D1403" s="37"/>
      <c r="E1403" s="37"/>
      <c r="F1403" s="46"/>
      <c r="G1403" s="37"/>
      <c r="H1403" s="37"/>
      <c r="I1403" s="37"/>
      <c r="J1403" s="37"/>
      <c r="K1403" s="37"/>
      <c r="L1403" s="37"/>
      <c r="M1403" s="37"/>
      <c r="N1403" s="37"/>
      <c r="O1403" s="37"/>
      <c r="P1403" s="37"/>
      <c r="Q1403" s="37"/>
      <c r="R1403" s="37"/>
      <c r="S1403" s="37"/>
      <c r="T1403" s="37"/>
      <c r="U1403" s="37"/>
    </row>
    <row r="1404" spans="1:21" ht="15.6">
      <c r="A1404" s="37"/>
      <c r="B1404" s="37"/>
      <c r="C1404" s="37"/>
      <c r="D1404" s="37"/>
      <c r="E1404" s="37"/>
      <c r="F1404" s="46"/>
      <c r="G1404" s="37"/>
      <c r="H1404" s="37"/>
      <c r="I1404" s="37"/>
      <c r="J1404" s="37"/>
      <c r="K1404" s="37"/>
      <c r="L1404" s="37"/>
      <c r="M1404" s="37"/>
      <c r="N1404" s="37"/>
      <c r="O1404" s="37"/>
      <c r="P1404" s="37"/>
      <c r="Q1404" s="37"/>
      <c r="R1404" s="37"/>
      <c r="S1404" s="37"/>
      <c r="T1404" s="37"/>
      <c r="U1404" s="37"/>
    </row>
    <row r="1405" spans="1:21" ht="15.6">
      <c r="A1405" s="37"/>
      <c r="B1405" s="37"/>
      <c r="C1405" s="37"/>
      <c r="D1405" s="37"/>
      <c r="E1405" s="37"/>
      <c r="F1405" s="46"/>
      <c r="G1405" s="37"/>
      <c r="H1405" s="37"/>
      <c r="I1405" s="37"/>
      <c r="J1405" s="37"/>
      <c r="K1405" s="37"/>
      <c r="L1405" s="37"/>
      <c r="M1405" s="37"/>
      <c r="N1405" s="37"/>
      <c r="O1405" s="37"/>
      <c r="P1405" s="37"/>
      <c r="Q1405" s="37"/>
      <c r="R1405" s="37"/>
      <c r="S1405" s="37"/>
      <c r="T1405" s="37"/>
      <c r="U1405" s="37"/>
    </row>
    <row r="1406" spans="1:21" ht="15.6">
      <c r="A1406" s="37"/>
      <c r="B1406" s="37"/>
      <c r="C1406" s="37"/>
      <c r="D1406" s="37"/>
      <c r="E1406" s="37"/>
      <c r="F1406" s="46"/>
      <c r="G1406" s="37"/>
      <c r="H1406" s="37"/>
      <c r="I1406" s="37"/>
      <c r="J1406" s="37"/>
      <c r="K1406" s="37"/>
      <c r="L1406" s="37"/>
      <c r="M1406" s="37"/>
      <c r="N1406" s="37"/>
      <c r="O1406" s="37"/>
      <c r="P1406" s="37"/>
      <c r="Q1406" s="37"/>
      <c r="R1406" s="37"/>
      <c r="S1406" s="37"/>
      <c r="T1406" s="37"/>
      <c r="U1406" s="37"/>
    </row>
    <row r="1407" spans="1:21" ht="15.6">
      <c r="A1407" s="37"/>
      <c r="B1407" s="37"/>
      <c r="C1407" s="37"/>
      <c r="D1407" s="37"/>
      <c r="E1407" s="37"/>
      <c r="F1407" s="46"/>
      <c r="G1407" s="37"/>
      <c r="H1407" s="37"/>
      <c r="I1407" s="37"/>
      <c r="J1407" s="37"/>
      <c r="K1407" s="37"/>
      <c r="L1407" s="37"/>
      <c r="M1407" s="37"/>
      <c r="N1407" s="37"/>
      <c r="O1407" s="37"/>
      <c r="P1407" s="37"/>
      <c r="Q1407" s="37"/>
      <c r="R1407" s="37"/>
      <c r="S1407" s="37"/>
      <c r="T1407" s="37"/>
      <c r="U1407" s="37"/>
    </row>
    <row r="1408" spans="1:21" ht="15.6">
      <c r="A1408" s="37"/>
      <c r="B1408" s="37"/>
      <c r="C1408" s="37"/>
      <c r="D1408" s="37"/>
      <c r="E1408" s="37"/>
      <c r="F1408" s="46"/>
      <c r="G1408" s="37"/>
      <c r="H1408" s="37"/>
      <c r="I1408" s="37"/>
      <c r="J1408" s="37"/>
      <c r="K1408" s="37"/>
      <c r="L1408" s="37"/>
      <c r="M1408" s="37"/>
      <c r="N1408" s="37"/>
      <c r="O1408" s="37"/>
      <c r="P1408" s="37"/>
      <c r="Q1408" s="37"/>
      <c r="R1408" s="37"/>
      <c r="S1408" s="37"/>
      <c r="T1408" s="37"/>
      <c r="U1408" s="37"/>
    </row>
    <row r="1409" spans="1:21" ht="15.6">
      <c r="A1409" s="37"/>
      <c r="B1409" s="37"/>
      <c r="C1409" s="37"/>
      <c r="D1409" s="37"/>
      <c r="E1409" s="37"/>
      <c r="F1409" s="46"/>
      <c r="G1409" s="37"/>
      <c r="H1409" s="37"/>
      <c r="I1409" s="37"/>
      <c r="J1409" s="37"/>
      <c r="K1409" s="37"/>
      <c r="L1409" s="37"/>
      <c r="M1409" s="37"/>
      <c r="N1409" s="37"/>
      <c r="O1409" s="37"/>
      <c r="P1409" s="37"/>
      <c r="Q1409" s="37"/>
      <c r="R1409" s="37"/>
      <c r="S1409" s="37"/>
      <c r="T1409" s="37"/>
      <c r="U1409" s="37"/>
    </row>
    <row r="1410" spans="1:21" ht="15.6">
      <c r="A1410" s="37"/>
      <c r="B1410" s="37"/>
      <c r="C1410" s="37"/>
      <c r="D1410" s="37"/>
      <c r="E1410" s="37"/>
      <c r="F1410" s="46"/>
      <c r="G1410" s="37"/>
      <c r="H1410" s="37"/>
      <c r="I1410" s="37"/>
      <c r="J1410" s="37"/>
      <c r="K1410" s="37"/>
      <c r="L1410" s="37"/>
      <c r="M1410" s="37"/>
      <c r="N1410" s="37"/>
      <c r="O1410" s="37"/>
      <c r="P1410" s="37"/>
      <c r="Q1410" s="37"/>
      <c r="R1410" s="37"/>
      <c r="S1410" s="37"/>
      <c r="T1410" s="37"/>
      <c r="U1410" s="37"/>
    </row>
    <row r="1411" spans="1:21" ht="15.6">
      <c r="A1411" s="37"/>
      <c r="B1411" s="37"/>
      <c r="C1411" s="37"/>
      <c r="D1411" s="37"/>
      <c r="E1411" s="37"/>
      <c r="F1411" s="46"/>
      <c r="G1411" s="37"/>
      <c r="H1411" s="37"/>
      <c r="I1411" s="37"/>
      <c r="J1411" s="37"/>
      <c r="K1411" s="37"/>
      <c r="L1411" s="37"/>
      <c r="M1411" s="37"/>
      <c r="N1411" s="37"/>
      <c r="O1411" s="37"/>
      <c r="P1411" s="37"/>
      <c r="Q1411" s="37"/>
      <c r="R1411" s="37"/>
      <c r="S1411" s="37"/>
      <c r="T1411" s="37"/>
      <c r="U1411" s="37"/>
    </row>
    <row r="1412" spans="1:21" ht="15.6">
      <c r="A1412" s="37"/>
      <c r="B1412" s="37"/>
      <c r="C1412" s="37"/>
      <c r="D1412" s="37"/>
      <c r="E1412" s="37"/>
      <c r="F1412" s="46"/>
      <c r="G1412" s="37"/>
      <c r="H1412" s="37"/>
      <c r="I1412" s="37"/>
      <c r="J1412" s="37"/>
      <c r="K1412" s="37"/>
      <c r="L1412" s="37"/>
      <c r="M1412" s="37"/>
      <c r="N1412" s="37"/>
      <c r="O1412" s="37"/>
      <c r="P1412" s="37"/>
      <c r="Q1412" s="37"/>
      <c r="R1412" s="37"/>
      <c r="S1412" s="37"/>
      <c r="T1412" s="37"/>
      <c r="U1412" s="37"/>
    </row>
    <row r="1413" spans="1:21" ht="15.6">
      <c r="A1413" s="37"/>
      <c r="B1413" s="37"/>
      <c r="C1413" s="37"/>
      <c r="D1413" s="37"/>
      <c r="E1413" s="37"/>
      <c r="F1413" s="46"/>
      <c r="G1413" s="37"/>
      <c r="H1413" s="37"/>
      <c r="I1413" s="37"/>
      <c r="J1413" s="37"/>
      <c r="K1413" s="37"/>
      <c r="L1413" s="37"/>
      <c r="M1413" s="37"/>
      <c r="N1413" s="37"/>
      <c r="O1413" s="37"/>
      <c r="P1413" s="37"/>
      <c r="Q1413" s="37"/>
      <c r="R1413" s="37"/>
      <c r="S1413" s="37"/>
      <c r="T1413" s="37"/>
      <c r="U1413" s="37"/>
    </row>
    <row r="1414" spans="1:21" ht="15.6">
      <c r="A1414" s="37"/>
      <c r="B1414" s="37"/>
      <c r="C1414" s="37"/>
      <c r="D1414" s="37"/>
      <c r="E1414" s="37"/>
      <c r="F1414" s="46"/>
      <c r="G1414" s="37"/>
      <c r="H1414" s="37"/>
      <c r="I1414" s="37"/>
      <c r="J1414" s="37"/>
      <c r="K1414" s="37"/>
      <c r="L1414" s="37"/>
      <c r="M1414" s="37"/>
      <c r="N1414" s="37"/>
      <c r="O1414" s="37"/>
      <c r="P1414" s="37"/>
      <c r="Q1414" s="37"/>
      <c r="R1414" s="37"/>
      <c r="S1414" s="37"/>
      <c r="T1414" s="37"/>
      <c r="U1414" s="37"/>
    </row>
    <row r="1415" spans="1:21" ht="15.6">
      <c r="A1415" s="37"/>
      <c r="B1415" s="37"/>
      <c r="C1415" s="37"/>
      <c r="D1415" s="37"/>
      <c r="E1415" s="37"/>
      <c r="F1415" s="46"/>
      <c r="G1415" s="37"/>
      <c r="H1415" s="37"/>
      <c r="I1415" s="37"/>
      <c r="J1415" s="37"/>
      <c r="K1415" s="37"/>
      <c r="L1415" s="37"/>
      <c r="M1415" s="37"/>
      <c r="N1415" s="37"/>
      <c r="O1415" s="37"/>
      <c r="P1415" s="37"/>
      <c r="Q1415" s="37"/>
      <c r="R1415" s="37"/>
      <c r="S1415" s="37"/>
      <c r="T1415" s="37"/>
      <c r="U1415" s="37"/>
    </row>
    <row r="1416" spans="1:21" ht="15.6">
      <c r="A1416" s="37"/>
      <c r="B1416" s="37"/>
      <c r="C1416" s="37"/>
      <c r="D1416" s="37"/>
      <c r="E1416" s="37"/>
      <c r="F1416" s="46"/>
      <c r="G1416" s="37"/>
      <c r="H1416" s="37"/>
      <c r="I1416" s="37"/>
      <c r="J1416" s="37"/>
      <c r="K1416" s="37"/>
      <c r="L1416" s="37"/>
      <c r="M1416" s="37"/>
      <c r="N1416" s="37"/>
      <c r="O1416" s="37"/>
      <c r="P1416" s="37"/>
      <c r="Q1416" s="37"/>
      <c r="R1416" s="37"/>
      <c r="S1416" s="37"/>
      <c r="T1416" s="37"/>
      <c r="U1416" s="37"/>
    </row>
    <row r="1417" spans="1:21" ht="15.6">
      <c r="A1417" s="37"/>
      <c r="B1417" s="37"/>
      <c r="C1417" s="37"/>
      <c r="D1417" s="37"/>
      <c r="E1417" s="37"/>
      <c r="F1417" s="46"/>
      <c r="G1417" s="37"/>
      <c r="H1417" s="37"/>
      <c r="I1417" s="37"/>
      <c r="J1417" s="37"/>
      <c r="K1417" s="37"/>
      <c r="L1417" s="37"/>
      <c r="M1417" s="37"/>
      <c r="N1417" s="37"/>
      <c r="O1417" s="37"/>
      <c r="P1417" s="37"/>
      <c r="Q1417" s="37"/>
      <c r="R1417" s="37"/>
      <c r="S1417" s="37"/>
      <c r="T1417" s="37"/>
      <c r="U1417" s="37"/>
    </row>
    <row r="1418" spans="1:21" ht="15.6">
      <c r="A1418" s="37"/>
      <c r="B1418" s="37"/>
      <c r="C1418" s="37"/>
      <c r="D1418" s="37"/>
      <c r="E1418" s="37"/>
      <c r="F1418" s="46"/>
      <c r="G1418" s="37"/>
      <c r="H1418" s="37"/>
      <c r="I1418" s="37"/>
      <c r="J1418" s="37"/>
      <c r="K1418" s="37"/>
      <c r="L1418" s="37"/>
      <c r="M1418" s="37"/>
      <c r="N1418" s="37"/>
      <c r="O1418" s="37"/>
      <c r="P1418" s="37"/>
      <c r="Q1418" s="37"/>
      <c r="R1418" s="37"/>
      <c r="S1418" s="37"/>
      <c r="T1418" s="37"/>
      <c r="U1418" s="37"/>
    </row>
    <row r="1419" spans="1:21" ht="15.6">
      <c r="A1419" s="37"/>
      <c r="B1419" s="37"/>
      <c r="C1419" s="37"/>
      <c r="D1419" s="37"/>
      <c r="E1419" s="37"/>
      <c r="F1419" s="46"/>
      <c r="G1419" s="37"/>
      <c r="H1419" s="37"/>
      <c r="I1419" s="37"/>
      <c r="J1419" s="37"/>
      <c r="K1419" s="37"/>
      <c r="L1419" s="37"/>
      <c r="M1419" s="37"/>
      <c r="N1419" s="37"/>
      <c r="O1419" s="37"/>
      <c r="P1419" s="37"/>
      <c r="Q1419" s="37"/>
      <c r="R1419" s="37"/>
      <c r="S1419" s="37"/>
      <c r="T1419" s="37"/>
      <c r="U1419" s="37"/>
    </row>
    <row r="1420" spans="1:21" ht="15.6">
      <c r="A1420" s="37"/>
      <c r="B1420" s="37"/>
      <c r="C1420" s="37"/>
      <c r="D1420" s="37"/>
      <c r="E1420" s="37"/>
      <c r="F1420" s="46"/>
      <c r="G1420" s="37"/>
      <c r="H1420" s="37"/>
      <c r="I1420" s="37"/>
      <c r="J1420" s="37"/>
      <c r="K1420" s="37"/>
      <c r="L1420" s="37"/>
      <c r="M1420" s="37"/>
      <c r="N1420" s="37"/>
      <c r="O1420" s="37"/>
      <c r="P1420" s="37"/>
      <c r="Q1420" s="37"/>
      <c r="R1420" s="37"/>
      <c r="S1420" s="37"/>
      <c r="T1420" s="37"/>
      <c r="U1420" s="37"/>
    </row>
    <row r="1421" spans="1:21" ht="15.6">
      <c r="A1421" s="37"/>
      <c r="B1421" s="37"/>
      <c r="C1421" s="37"/>
      <c r="D1421" s="37"/>
      <c r="E1421" s="37"/>
      <c r="F1421" s="46"/>
      <c r="G1421" s="37"/>
      <c r="H1421" s="37"/>
      <c r="I1421" s="37"/>
      <c r="J1421" s="37"/>
      <c r="K1421" s="37"/>
      <c r="L1421" s="37"/>
      <c r="M1421" s="37"/>
      <c r="N1421" s="37"/>
      <c r="O1421" s="37"/>
      <c r="P1421" s="37"/>
      <c r="Q1421" s="37"/>
      <c r="R1421" s="37"/>
      <c r="S1421" s="37"/>
      <c r="T1421" s="37"/>
      <c r="U1421" s="37"/>
    </row>
    <row r="1422" spans="1:21" ht="15.6">
      <c r="A1422" s="37"/>
      <c r="B1422" s="37"/>
      <c r="C1422" s="37"/>
      <c r="D1422" s="37"/>
      <c r="E1422" s="37"/>
      <c r="F1422" s="46"/>
      <c r="G1422" s="37"/>
      <c r="H1422" s="37"/>
      <c r="I1422" s="37"/>
      <c r="J1422" s="37"/>
      <c r="K1422" s="37"/>
      <c r="L1422" s="37"/>
      <c r="M1422" s="37"/>
      <c r="N1422" s="37"/>
      <c r="O1422" s="37"/>
      <c r="P1422" s="37"/>
      <c r="Q1422" s="37"/>
      <c r="R1422" s="37"/>
      <c r="S1422" s="37"/>
      <c r="T1422" s="37"/>
      <c r="U1422" s="37"/>
    </row>
    <row r="1423" spans="1:21" ht="15.6">
      <c r="A1423" s="37"/>
      <c r="B1423" s="37"/>
      <c r="C1423" s="37"/>
      <c r="D1423" s="37"/>
      <c r="E1423" s="37"/>
      <c r="F1423" s="46"/>
      <c r="G1423" s="37"/>
      <c r="H1423" s="37"/>
      <c r="I1423" s="37"/>
      <c r="J1423" s="37"/>
      <c r="K1423" s="37"/>
      <c r="L1423" s="37"/>
      <c r="M1423" s="37"/>
      <c r="N1423" s="37"/>
      <c r="O1423" s="37"/>
      <c r="P1423" s="37"/>
      <c r="Q1423" s="37"/>
      <c r="R1423" s="37"/>
      <c r="S1423" s="37"/>
      <c r="T1423" s="37"/>
      <c r="U1423" s="37"/>
    </row>
    <row r="1424" spans="1:21" ht="15.6">
      <c r="A1424" s="37"/>
      <c r="B1424" s="37"/>
      <c r="C1424" s="37"/>
      <c r="D1424" s="37"/>
      <c r="E1424" s="37"/>
      <c r="F1424" s="46"/>
      <c r="G1424" s="37"/>
      <c r="H1424" s="37"/>
      <c r="I1424" s="37"/>
      <c r="J1424" s="37"/>
      <c r="K1424" s="37"/>
      <c r="L1424" s="37"/>
      <c r="M1424" s="37"/>
      <c r="N1424" s="37"/>
      <c r="O1424" s="37"/>
      <c r="P1424" s="37"/>
      <c r="Q1424" s="37"/>
      <c r="R1424" s="37"/>
      <c r="S1424" s="37"/>
      <c r="T1424" s="37"/>
      <c r="U1424" s="37"/>
    </row>
    <row r="1425" spans="1:21" ht="15.6">
      <c r="A1425" s="37"/>
      <c r="B1425" s="37"/>
      <c r="C1425" s="37"/>
      <c r="D1425" s="37"/>
      <c r="E1425" s="37"/>
      <c r="F1425" s="46"/>
      <c r="G1425" s="37"/>
      <c r="H1425" s="37"/>
      <c r="I1425" s="37"/>
      <c r="J1425" s="37"/>
      <c r="K1425" s="37"/>
      <c r="L1425" s="37"/>
      <c r="M1425" s="37"/>
      <c r="N1425" s="37"/>
      <c r="O1425" s="37"/>
      <c r="P1425" s="37"/>
      <c r="Q1425" s="37"/>
      <c r="R1425" s="37"/>
      <c r="S1425" s="37"/>
      <c r="T1425" s="37"/>
      <c r="U1425" s="37"/>
    </row>
    <row r="1426" spans="1:21" ht="15.6">
      <c r="A1426" s="37"/>
      <c r="B1426" s="37"/>
      <c r="C1426" s="37"/>
      <c r="D1426" s="37"/>
      <c r="E1426" s="37"/>
      <c r="F1426" s="46"/>
      <c r="G1426" s="37"/>
      <c r="H1426" s="37"/>
      <c r="I1426" s="37"/>
      <c r="J1426" s="37"/>
      <c r="K1426" s="37"/>
      <c r="L1426" s="37"/>
      <c r="M1426" s="37"/>
      <c r="N1426" s="37"/>
      <c r="O1426" s="37"/>
      <c r="P1426" s="37"/>
      <c r="Q1426" s="37"/>
      <c r="R1426" s="37"/>
      <c r="S1426" s="37"/>
      <c r="T1426" s="37"/>
      <c r="U1426" s="37"/>
    </row>
    <row r="1427" spans="1:21" ht="15.6">
      <c r="A1427" s="37"/>
      <c r="B1427" s="37"/>
      <c r="C1427" s="37"/>
      <c r="D1427" s="37"/>
      <c r="E1427" s="37"/>
      <c r="F1427" s="46"/>
      <c r="G1427" s="37"/>
      <c r="H1427" s="37"/>
      <c r="I1427" s="37"/>
      <c r="J1427" s="37"/>
      <c r="K1427" s="37"/>
      <c r="L1427" s="37"/>
      <c r="M1427" s="37"/>
      <c r="N1427" s="37"/>
      <c r="O1427" s="37"/>
      <c r="P1427" s="37"/>
      <c r="Q1427" s="37"/>
      <c r="R1427" s="37"/>
      <c r="S1427" s="37"/>
      <c r="T1427" s="37"/>
      <c r="U1427" s="37"/>
    </row>
    <row r="1428" spans="1:21" ht="15.6">
      <c r="A1428" s="37"/>
      <c r="B1428" s="37"/>
      <c r="C1428" s="37"/>
      <c r="D1428" s="37"/>
      <c r="E1428" s="37"/>
      <c r="F1428" s="46"/>
      <c r="G1428" s="37"/>
      <c r="H1428" s="37"/>
      <c r="I1428" s="37"/>
      <c r="J1428" s="37"/>
      <c r="K1428" s="37"/>
      <c r="L1428" s="37"/>
      <c r="M1428" s="37"/>
      <c r="N1428" s="37"/>
      <c r="O1428" s="37"/>
      <c r="P1428" s="37"/>
      <c r="Q1428" s="37"/>
      <c r="R1428" s="37"/>
      <c r="S1428" s="37"/>
      <c r="T1428" s="37"/>
      <c r="U1428" s="37"/>
    </row>
    <row r="1429" spans="1:21" ht="15.6">
      <c r="A1429" s="37"/>
      <c r="B1429" s="37"/>
      <c r="C1429" s="37"/>
      <c r="D1429" s="37"/>
      <c r="E1429" s="37"/>
      <c r="F1429" s="46"/>
      <c r="G1429" s="37"/>
      <c r="H1429" s="37"/>
      <c r="I1429" s="37"/>
      <c r="J1429" s="37"/>
      <c r="K1429" s="37"/>
      <c r="L1429" s="37"/>
      <c r="M1429" s="37"/>
      <c r="N1429" s="37"/>
      <c r="O1429" s="37"/>
      <c r="P1429" s="37"/>
      <c r="Q1429" s="37"/>
      <c r="R1429" s="37"/>
      <c r="S1429" s="37"/>
      <c r="T1429" s="37"/>
      <c r="U1429" s="37"/>
    </row>
    <row r="1430" spans="1:21" ht="15.6">
      <c r="A1430" s="37"/>
      <c r="B1430" s="37"/>
      <c r="C1430" s="37"/>
      <c r="D1430" s="37"/>
      <c r="E1430" s="37"/>
      <c r="F1430" s="46"/>
      <c r="G1430" s="37"/>
      <c r="H1430" s="37"/>
      <c r="I1430" s="37"/>
      <c r="J1430" s="37"/>
      <c r="K1430" s="37"/>
      <c r="L1430" s="37"/>
      <c r="M1430" s="37"/>
      <c r="N1430" s="37"/>
      <c r="O1430" s="37"/>
      <c r="P1430" s="37"/>
      <c r="Q1430" s="37"/>
      <c r="R1430" s="37"/>
      <c r="S1430" s="37"/>
      <c r="T1430" s="37"/>
      <c r="U1430" s="37"/>
    </row>
    <row r="1431" spans="1:21" ht="15.6">
      <c r="A1431" s="37"/>
      <c r="B1431" s="37"/>
      <c r="C1431" s="37"/>
      <c r="D1431" s="37"/>
      <c r="E1431" s="37"/>
      <c r="F1431" s="46"/>
      <c r="G1431" s="37"/>
      <c r="H1431" s="37"/>
      <c r="I1431" s="37"/>
      <c r="J1431" s="37"/>
      <c r="K1431" s="37"/>
      <c r="L1431" s="37"/>
      <c r="M1431" s="37"/>
      <c r="N1431" s="37"/>
      <c r="O1431" s="37"/>
      <c r="P1431" s="37"/>
      <c r="Q1431" s="37"/>
      <c r="R1431" s="37"/>
      <c r="S1431" s="37"/>
      <c r="T1431" s="37"/>
      <c r="U1431" s="37"/>
    </row>
    <row r="1432" spans="1:21" ht="15.6">
      <c r="A1432" s="37"/>
      <c r="B1432" s="37"/>
      <c r="C1432" s="37"/>
      <c r="D1432" s="37"/>
      <c r="E1432" s="37"/>
      <c r="F1432" s="46"/>
      <c r="G1432" s="37"/>
      <c r="H1432" s="37"/>
      <c r="I1432" s="37"/>
      <c r="J1432" s="37"/>
      <c r="K1432" s="37"/>
      <c r="L1432" s="37"/>
      <c r="M1432" s="37"/>
      <c r="N1432" s="37"/>
      <c r="O1432" s="37"/>
      <c r="P1432" s="37"/>
      <c r="Q1432" s="37"/>
      <c r="R1432" s="37"/>
      <c r="S1432" s="37"/>
      <c r="T1432" s="37"/>
      <c r="U1432" s="37"/>
    </row>
    <row r="1433" spans="1:21" ht="15.6">
      <c r="A1433" s="37"/>
      <c r="B1433" s="37"/>
      <c r="C1433" s="37"/>
      <c r="D1433" s="37"/>
      <c r="E1433" s="37"/>
      <c r="F1433" s="46"/>
      <c r="G1433" s="37"/>
      <c r="H1433" s="37"/>
      <c r="I1433" s="37"/>
      <c r="J1433" s="37"/>
      <c r="K1433" s="37"/>
      <c r="L1433" s="37"/>
      <c r="M1433" s="37"/>
      <c r="N1433" s="37"/>
      <c r="O1433" s="37"/>
      <c r="P1433" s="37"/>
      <c r="Q1433" s="37"/>
      <c r="R1433" s="37"/>
      <c r="S1433" s="37"/>
      <c r="T1433" s="37"/>
      <c r="U1433" s="37"/>
    </row>
    <row r="1434" spans="1:21" ht="15.6">
      <c r="A1434" s="37"/>
      <c r="B1434" s="37"/>
      <c r="C1434" s="37"/>
      <c r="D1434" s="37"/>
      <c r="E1434" s="37"/>
      <c r="F1434" s="46"/>
      <c r="G1434" s="37"/>
      <c r="H1434" s="37"/>
      <c r="I1434" s="37"/>
      <c r="J1434" s="37"/>
      <c r="K1434" s="37"/>
      <c r="L1434" s="37"/>
      <c r="M1434" s="37"/>
      <c r="N1434" s="37"/>
      <c r="O1434" s="37"/>
      <c r="P1434" s="37"/>
      <c r="Q1434" s="37"/>
      <c r="R1434" s="37"/>
      <c r="S1434" s="37"/>
      <c r="T1434" s="37"/>
      <c r="U1434" s="37"/>
    </row>
    <row r="1435" spans="1:21" ht="15.6">
      <c r="A1435" s="37"/>
      <c r="B1435" s="37"/>
      <c r="C1435" s="37"/>
      <c r="D1435" s="37"/>
      <c r="E1435" s="37"/>
      <c r="F1435" s="46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  <c r="Q1435" s="37"/>
      <c r="R1435" s="37"/>
      <c r="S1435" s="37"/>
      <c r="T1435" s="37"/>
      <c r="U1435" s="37"/>
    </row>
    <row r="1436" spans="1:21" ht="15.6">
      <c r="A1436" s="37"/>
      <c r="B1436" s="37"/>
      <c r="C1436" s="37"/>
      <c r="D1436" s="37"/>
      <c r="E1436" s="37"/>
      <c r="F1436" s="46"/>
      <c r="G1436" s="37"/>
      <c r="H1436" s="37"/>
      <c r="I1436" s="37"/>
      <c r="J1436" s="37"/>
      <c r="K1436" s="37"/>
      <c r="L1436" s="37"/>
      <c r="M1436" s="37"/>
      <c r="N1436" s="37"/>
      <c r="O1436" s="37"/>
      <c r="P1436" s="37"/>
      <c r="Q1436" s="37"/>
      <c r="R1436" s="37"/>
      <c r="S1436" s="37"/>
      <c r="T1436" s="37"/>
      <c r="U1436" s="37"/>
    </row>
    <row r="1437" spans="1:21" ht="15.6">
      <c r="A1437" s="37"/>
      <c r="B1437" s="37"/>
      <c r="C1437" s="37"/>
      <c r="D1437" s="37"/>
      <c r="E1437" s="37"/>
      <c r="F1437" s="46"/>
      <c r="G1437" s="37"/>
      <c r="H1437" s="37"/>
      <c r="I1437" s="37"/>
      <c r="J1437" s="37"/>
      <c r="K1437" s="37"/>
      <c r="L1437" s="37"/>
      <c r="M1437" s="37"/>
      <c r="N1437" s="37"/>
      <c r="O1437" s="37"/>
      <c r="P1437" s="37"/>
      <c r="Q1437" s="37"/>
      <c r="R1437" s="37"/>
      <c r="S1437" s="37"/>
      <c r="T1437" s="37"/>
      <c r="U1437" s="37"/>
    </row>
    <row r="1438" spans="1:21" ht="15.6">
      <c r="A1438" s="37"/>
      <c r="B1438" s="37"/>
      <c r="C1438" s="37"/>
      <c r="D1438" s="37"/>
      <c r="E1438" s="37"/>
      <c r="F1438" s="46"/>
      <c r="G1438" s="37"/>
      <c r="H1438" s="37"/>
      <c r="I1438" s="37"/>
      <c r="J1438" s="37"/>
      <c r="K1438" s="37"/>
      <c r="L1438" s="37"/>
      <c r="M1438" s="37"/>
      <c r="N1438" s="37"/>
      <c r="O1438" s="37"/>
      <c r="P1438" s="37"/>
      <c r="Q1438" s="37"/>
      <c r="R1438" s="37"/>
      <c r="S1438" s="37"/>
      <c r="T1438" s="37"/>
      <c r="U1438" s="37"/>
    </row>
    <row r="1439" spans="1:21" ht="15.6">
      <c r="A1439" s="37"/>
      <c r="B1439" s="37"/>
      <c r="C1439" s="37"/>
      <c r="D1439" s="37"/>
      <c r="E1439" s="37"/>
      <c r="F1439" s="46"/>
      <c r="G1439" s="37"/>
      <c r="H1439" s="37"/>
      <c r="I1439" s="37"/>
      <c r="J1439" s="37"/>
      <c r="K1439" s="37"/>
      <c r="L1439" s="37"/>
      <c r="M1439" s="37"/>
      <c r="N1439" s="37"/>
      <c r="O1439" s="37"/>
      <c r="P1439" s="37"/>
      <c r="Q1439" s="37"/>
      <c r="R1439" s="37"/>
      <c r="S1439" s="37"/>
      <c r="T1439" s="37"/>
      <c r="U1439" s="37"/>
    </row>
    <row r="1440" spans="1:21" ht="15.6">
      <c r="A1440" s="37"/>
      <c r="B1440" s="37"/>
      <c r="C1440" s="37"/>
      <c r="D1440" s="37"/>
      <c r="E1440" s="37"/>
      <c r="F1440" s="46"/>
      <c r="G1440" s="37"/>
      <c r="H1440" s="37"/>
      <c r="I1440" s="37"/>
      <c r="J1440" s="37"/>
      <c r="K1440" s="37"/>
      <c r="L1440" s="37"/>
      <c r="M1440" s="37"/>
      <c r="N1440" s="37"/>
      <c r="O1440" s="37"/>
      <c r="P1440" s="37"/>
      <c r="Q1440" s="37"/>
      <c r="R1440" s="37"/>
      <c r="S1440" s="37"/>
      <c r="T1440" s="37"/>
      <c r="U1440" s="37"/>
    </row>
    <row r="1441" spans="1:21" ht="15.6">
      <c r="A1441" s="37"/>
      <c r="B1441" s="37"/>
      <c r="C1441" s="37"/>
      <c r="D1441" s="37"/>
      <c r="E1441" s="37"/>
      <c r="F1441" s="46"/>
      <c r="G1441" s="37"/>
      <c r="H1441" s="37"/>
      <c r="I1441" s="37"/>
      <c r="J1441" s="37"/>
      <c r="K1441" s="37"/>
      <c r="L1441" s="37"/>
      <c r="M1441" s="37"/>
      <c r="N1441" s="37"/>
      <c r="O1441" s="37"/>
      <c r="P1441" s="37"/>
      <c r="Q1441" s="37"/>
      <c r="R1441" s="37"/>
      <c r="S1441" s="37"/>
      <c r="T1441" s="37"/>
      <c r="U1441" s="37"/>
    </row>
    <row r="1442" spans="1:21" ht="15.6">
      <c r="A1442" s="37"/>
      <c r="B1442" s="37"/>
      <c r="C1442" s="37"/>
      <c r="D1442" s="37"/>
      <c r="E1442" s="37"/>
      <c r="F1442" s="46"/>
      <c r="G1442" s="37"/>
      <c r="H1442" s="37"/>
      <c r="I1442" s="37"/>
      <c r="J1442" s="37"/>
      <c r="K1442" s="37"/>
      <c r="L1442" s="37"/>
      <c r="M1442" s="37"/>
      <c r="N1442" s="37"/>
      <c r="O1442" s="37"/>
      <c r="P1442" s="37"/>
      <c r="Q1442" s="37"/>
      <c r="R1442" s="37"/>
      <c r="S1442" s="37"/>
      <c r="T1442" s="37"/>
      <c r="U1442" s="37"/>
    </row>
    <row r="1443" spans="1:21" ht="15.6">
      <c r="A1443" s="37"/>
      <c r="B1443" s="37"/>
      <c r="C1443" s="37"/>
      <c r="D1443" s="37"/>
      <c r="E1443" s="37"/>
      <c r="F1443" s="46"/>
      <c r="G1443" s="37"/>
      <c r="H1443" s="37"/>
      <c r="I1443" s="37"/>
      <c r="J1443" s="37"/>
      <c r="K1443" s="37"/>
      <c r="L1443" s="37"/>
      <c r="M1443" s="37"/>
      <c r="N1443" s="37"/>
      <c r="O1443" s="37"/>
      <c r="P1443" s="37"/>
      <c r="Q1443" s="37"/>
      <c r="R1443" s="37"/>
      <c r="S1443" s="37"/>
      <c r="T1443" s="37"/>
      <c r="U1443" s="37"/>
    </row>
    <row r="1444" spans="1:21" ht="15.6">
      <c r="A1444" s="37"/>
      <c r="B1444" s="37"/>
      <c r="C1444" s="37"/>
      <c r="D1444" s="37"/>
      <c r="E1444" s="37"/>
      <c r="F1444" s="46"/>
      <c r="G1444" s="37"/>
      <c r="H1444" s="37"/>
      <c r="I1444" s="37"/>
      <c r="J1444" s="37"/>
      <c r="K1444" s="37"/>
      <c r="L1444" s="37"/>
      <c r="M1444" s="37"/>
      <c r="N1444" s="37"/>
      <c r="O1444" s="37"/>
      <c r="P1444" s="37"/>
      <c r="Q1444" s="37"/>
      <c r="R1444" s="37"/>
      <c r="S1444" s="37"/>
      <c r="T1444" s="37"/>
      <c r="U1444" s="37"/>
    </row>
    <row r="1445" spans="1:21" ht="15.6">
      <c r="A1445" s="37"/>
      <c r="B1445" s="37"/>
      <c r="C1445" s="37"/>
      <c r="D1445" s="37"/>
      <c r="E1445" s="37"/>
      <c r="F1445" s="46"/>
      <c r="G1445" s="37"/>
      <c r="H1445" s="37"/>
      <c r="I1445" s="37"/>
      <c r="J1445" s="37"/>
      <c r="K1445" s="37"/>
      <c r="L1445" s="37"/>
      <c r="M1445" s="37"/>
      <c r="N1445" s="37"/>
      <c r="O1445" s="37"/>
      <c r="P1445" s="37"/>
      <c r="Q1445" s="37"/>
      <c r="R1445" s="37"/>
      <c r="S1445" s="37"/>
      <c r="T1445" s="37"/>
      <c r="U1445" s="37"/>
    </row>
    <row r="1446" spans="1:21" ht="15.6">
      <c r="A1446" s="37"/>
      <c r="B1446" s="37"/>
      <c r="C1446" s="37"/>
      <c r="D1446" s="37"/>
      <c r="E1446" s="37"/>
      <c r="F1446" s="46"/>
      <c r="G1446" s="37"/>
      <c r="H1446" s="37"/>
      <c r="I1446" s="37"/>
      <c r="J1446" s="37"/>
      <c r="K1446" s="37"/>
      <c r="L1446" s="37"/>
      <c r="M1446" s="37"/>
      <c r="N1446" s="37"/>
      <c r="O1446" s="37"/>
      <c r="P1446" s="37"/>
      <c r="Q1446" s="37"/>
      <c r="R1446" s="37"/>
      <c r="S1446" s="37"/>
      <c r="T1446" s="37"/>
      <c r="U1446" s="37"/>
    </row>
    <row r="1447" spans="1:21" ht="15.6">
      <c r="A1447" s="37"/>
      <c r="B1447" s="37"/>
      <c r="C1447" s="37"/>
      <c r="D1447" s="37"/>
      <c r="E1447" s="37"/>
      <c r="F1447" s="46"/>
      <c r="G1447" s="37"/>
      <c r="H1447" s="37"/>
      <c r="I1447" s="37"/>
      <c r="J1447" s="37"/>
      <c r="K1447" s="37"/>
      <c r="L1447" s="37"/>
      <c r="M1447" s="37"/>
      <c r="N1447" s="37"/>
      <c r="O1447" s="37"/>
      <c r="P1447" s="37"/>
      <c r="Q1447" s="37"/>
      <c r="R1447" s="37"/>
      <c r="S1447" s="37"/>
      <c r="T1447" s="37"/>
      <c r="U1447" s="37"/>
    </row>
    <row r="1448" spans="1:21" ht="15.6">
      <c r="A1448" s="37"/>
      <c r="B1448" s="37"/>
      <c r="C1448" s="37"/>
      <c r="D1448" s="37"/>
      <c r="E1448" s="37"/>
      <c r="F1448" s="46"/>
      <c r="G1448" s="37"/>
      <c r="H1448" s="37"/>
      <c r="I1448" s="37"/>
      <c r="J1448" s="37"/>
      <c r="K1448" s="37"/>
      <c r="L1448" s="37"/>
      <c r="M1448" s="37"/>
      <c r="N1448" s="37"/>
      <c r="O1448" s="37"/>
      <c r="P1448" s="37"/>
      <c r="Q1448" s="37"/>
      <c r="R1448" s="37"/>
      <c r="S1448" s="37"/>
      <c r="T1448" s="37"/>
      <c r="U1448" s="37"/>
    </row>
    <row r="1449" spans="1:21" ht="15.6">
      <c r="A1449" s="37"/>
      <c r="B1449" s="37"/>
      <c r="C1449" s="37"/>
      <c r="D1449" s="37"/>
      <c r="E1449" s="37"/>
      <c r="F1449" s="46"/>
      <c r="G1449" s="37"/>
      <c r="H1449" s="37"/>
      <c r="I1449" s="37"/>
      <c r="J1449" s="37"/>
      <c r="K1449" s="37"/>
      <c r="L1449" s="37"/>
      <c r="M1449" s="37"/>
      <c r="N1449" s="37"/>
      <c r="O1449" s="37"/>
      <c r="P1449" s="37"/>
      <c r="Q1449" s="37"/>
      <c r="R1449" s="37"/>
      <c r="S1449" s="37"/>
      <c r="T1449" s="37"/>
      <c r="U1449" s="37"/>
    </row>
    <row r="1450" spans="1:21" ht="15.6">
      <c r="A1450" s="37"/>
      <c r="B1450" s="37"/>
      <c r="C1450" s="37"/>
      <c r="D1450" s="37"/>
      <c r="E1450" s="37"/>
      <c r="F1450" s="46"/>
      <c r="G1450" s="37"/>
      <c r="H1450" s="37"/>
      <c r="I1450" s="37"/>
      <c r="J1450" s="37"/>
      <c r="K1450" s="37"/>
      <c r="L1450" s="37"/>
      <c r="M1450" s="37"/>
      <c r="N1450" s="37"/>
      <c r="O1450" s="37"/>
      <c r="P1450" s="37"/>
      <c r="Q1450" s="37"/>
      <c r="R1450" s="37"/>
      <c r="S1450" s="37"/>
      <c r="T1450" s="37"/>
      <c r="U1450" s="37"/>
    </row>
    <row r="1451" spans="1:21" ht="15.6">
      <c r="A1451" s="37"/>
      <c r="B1451" s="37"/>
      <c r="C1451" s="37"/>
      <c r="D1451" s="37"/>
      <c r="E1451" s="37"/>
      <c r="F1451" s="46"/>
      <c r="G1451" s="37"/>
      <c r="H1451" s="37"/>
      <c r="I1451" s="37"/>
      <c r="J1451" s="37"/>
      <c r="K1451" s="37"/>
      <c r="L1451" s="37"/>
      <c r="M1451" s="37"/>
      <c r="N1451" s="37"/>
      <c r="O1451" s="37"/>
      <c r="P1451" s="37"/>
      <c r="Q1451" s="37"/>
      <c r="R1451" s="37"/>
      <c r="S1451" s="37"/>
      <c r="T1451" s="37"/>
      <c r="U1451" s="37"/>
    </row>
    <row r="1452" spans="1:21" ht="15.6">
      <c r="A1452" s="37"/>
      <c r="B1452" s="37"/>
      <c r="C1452" s="37"/>
      <c r="D1452" s="37"/>
      <c r="E1452" s="37"/>
      <c r="F1452" s="46"/>
      <c r="G1452" s="37"/>
      <c r="H1452" s="37"/>
      <c r="I1452" s="37"/>
      <c r="J1452" s="37"/>
      <c r="K1452" s="37"/>
      <c r="L1452" s="37"/>
      <c r="M1452" s="37"/>
      <c r="N1452" s="37"/>
      <c r="O1452" s="37"/>
      <c r="P1452" s="37"/>
      <c r="Q1452" s="37"/>
      <c r="R1452" s="37"/>
      <c r="S1452" s="37"/>
      <c r="T1452" s="37"/>
      <c r="U1452" s="37"/>
    </row>
    <row r="1453" spans="1:21" ht="15.6">
      <c r="A1453" s="37"/>
      <c r="B1453" s="37"/>
      <c r="C1453" s="37"/>
      <c r="D1453" s="37"/>
      <c r="E1453" s="37"/>
      <c r="F1453" s="46"/>
      <c r="G1453" s="37"/>
      <c r="H1453" s="37"/>
      <c r="I1453" s="37"/>
      <c r="J1453" s="37"/>
      <c r="K1453" s="37"/>
      <c r="L1453" s="37"/>
      <c r="M1453" s="37"/>
      <c r="N1453" s="37"/>
      <c r="O1453" s="37"/>
      <c r="P1453" s="37"/>
      <c r="Q1453" s="37"/>
      <c r="R1453" s="37"/>
      <c r="S1453" s="37"/>
      <c r="T1453" s="37"/>
      <c r="U1453" s="37"/>
    </row>
    <row r="1454" spans="1:21" ht="15.6">
      <c r="A1454" s="37"/>
      <c r="B1454" s="37"/>
      <c r="C1454" s="37"/>
      <c r="D1454" s="37"/>
      <c r="E1454" s="37"/>
      <c r="F1454" s="46"/>
      <c r="G1454" s="37"/>
      <c r="H1454" s="37"/>
      <c r="I1454" s="37"/>
      <c r="J1454" s="37"/>
      <c r="K1454" s="37"/>
      <c r="L1454" s="37"/>
      <c r="M1454" s="37"/>
      <c r="N1454" s="37"/>
      <c r="O1454" s="37"/>
      <c r="P1454" s="37"/>
      <c r="Q1454" s="37"/>
      <c r="R1454" s="37"/>
      <c r="S1454" s="37"/>
      <c r="T1454" s="37"/>
      <c r="U1454" s="37"/>
    </row>
    <row r="1455" spans="1:21" ht="15.6">
      <c r="A1455" s="37"/>
      <c r="B1455" s="37"/>
      <c r="C1455" s="37"/>
      <c r="D1455" s="37"/>
      <c r="E1455" s="37"/>
      <c r="F1455" s="46"/>
      <c r="G1455" s="37"/>
      <c r="H1455" s="37"/>
      <c r="I1455" s="37"/>
      <c r="J1455" s="37"/>
      <c r="K1455" s="37"/>
      <c r="L1455" s="37"/>
      <c r="M1455" s="37"/>
      <c r="N1455" s="37"/>
      <c r="O1455" s="37"/>
      <c r="P1455" s="37"/>
      <c r="Q1455" s="37"/>
      <c r="R1455" s="37"/>
      <c r="S1455" s="37"/>
      <c r="T1455" s="37"/>
      <c r="U1455" s="37"/>
    </row>
    <row r="1456" spans="1:21" ht="15.6">
      <c r="A1456" s="37"/>
      <c r="B1456" s="37"/>
      <c r="C1456" s="37"/>
      <c r="D1456" s="37"/>
      <c r="E1456" s="37"/>
      <c r="F1456" s="46"/>
      <c r="G1456" s="37"/>
      <c r="H1456" s="37"/>
      <c r="I1456" s="37"/>
      <c r="J1456" s="37"/>
      <c r="K1456" s="37"/>
      <c r="L1456" s="37"/>
      <c r="M1456" s="37"/>
      <c r="N1456" s="37"/>
      <c r="O1456" s="37"/>
      <c r="P1456" s="37"/>
      <c r="Q1456" s="37"/>
      <c r="R1456" s="37"/>
      <c r="S1456" s="37"/>
      <c r="T1456" s="37"/>
      <c r="U1456" s="37"/>
    </row>
    <row r="1457" spans="1:21" ht="15.6">
      <c r="A1457" s="37"/>
      <c r="B1457" s="37"/>
      <c r="C1457" s="37"/>
      <c r="D1457" s="37"/>
      <c r="E1457" s="37"/>
      <c r="F1457" s="46"/>
      <c r="G1457" s="37"/>
      <c r="H1457" s="37"/>
      <c r="I1457" s="37"/>
      <c r="J1457" s="37"/>
      <c r="K1457" s="37"/>
      <c r="L1457" s="37"/>
      <c r="M1457" s="37"/>
      <c r="N1457" s="37"/>
      <c r="O1457" s="37"/>
      <c r="P1457" s="37"/>
      <c r="Q1457" s="37"/>
      <c r="R1457" s="37"/>
      <c r="S1457" s="37"/>
      <c r="T1457" s="37"/>
      <c r="U1457" s="37"/>
    </row>
    <row r="1458" spans="1:21" ht="15.6">
      <c r="A1458" s="37"/>
      <c r="B1458" s="37"/>
      <c r="C1458" s="37"/>
      <c r="D1458" s="37"/>
      <c r="E1458" s="37"/>
      <c r="F1458" s="46"/>
      <c r="G1458" s="37"/>
      <c r="H1458" s="37"/>
      <c r="I1458" s="37"/>
      <c r="J1458" s="37"/>
      <c r="K1458" s="37"/>
      <c r="L1458" s="37"/>
      <c r="M1458" s="37"/>
      <c r="N1458" s="37"/>
      <c r="O1458" s="37"/>
      <c r="P1458" s="37"/>
      <c r="Q1458" s="37"/>
      <c r="R1458" s="37"/>
      <c r="S1458" s="37"/>
      <c r="T1458" s="37"/>
      <c r="U1458" s="37"/>
    </row>
    <row r="1459" spans="1:21" ht="15.6">
      <c r="A1459" s="37"/>
      <c r="B1459" s="37"/>
      <c r="C1459" s="37"/>
      <c r="D1459" s="37"/>
      <c r="E1459" s="37"/>
      <c r="F1459" s="46"/>
      <c r="G1459" s="37"/>
      <c r="H1459" s="37"/>
      <c r="I1459" s="37"/>
      <c r="J1459" s="37"/>
      <c r="K1459" s="37"/>
      <c r="L1459" s="37"/>
      <c r="M1459" s="37"/>
      <c r="N1459" s="37"/>
      <c r="O1459" s="37"/>
      <c r="P1459" s="37"/>
      <c r="Q1459" s="37"/>
      <c r="R1459" s="37"/>
      <c r="S1459" s="37"/>
      <c r="T1459" s="37"/>
      <c r="U1459" s="37"/>
    </row>
    <row r="1460" spans="1:21" ht="15.6">
      <c r="A1460" s="37"/>
      <c r="B1460" s="37"/>
      <c r="C1460" s="37"/>
      <c r="D1460" s="37"/>
      <c r="E1460" s="37"/>
      <c r="F1460" s="46"/>
      <c r="G1460" s="37"/>
      <c r="H1460" s="37"/>
      <c r="I1460" s="37"/>
      <c r="J1460" s="37"/>
      <c r="K1460" s="37"/>
      <c r="L1460" s="37"/>
      <c r="M1460" s="37"/>
      <c r="N1460" s="37"/>
      <c r="O1460" s="37"/>
      <c r="P1460" s="37"/>
      <c r="Q1460" s="37"/>
      <c r="R1460" s="37"/>
      <c r="S1460" s="37"/>
      <c r="T1460" s="37"/>
      <c r="U1460" s="37"/>
    </row>
    <row r="1461" spans="1:21" ht="15.6">
      <c r="A1461" s="37"/>
      <c r="B1461" s="37"/>
      <c r="C1461" s="37"/>
      <c r="D1461" s="37"/>
      <c r="E1461" s="37"/>
      <c r="F1461" s="46"/>
      <c r="G1461" s="37"/>
      <c r="H1461" s="37"/>
      <c r="I1461" s="37"/>
      <c r="J1461" s="37"/>
      <c r="K1461" s="37"/>
      <c r="L1461" s="37"/>
      <c r="M1461" s="37"/>
      <c r="N1461" s="37"/>
      <c r="O1461" s="37"/>
      <c r="P1461" s="37"/>
      <c r="Q1461" s="37"/>
      <c r="R1461" s="37"/>
      <c r="S1461" s="37"/>
      <c r="T1461" s="37"/>
      <c r="U1461" s="37"/>
    </row>
    <row r="1462" spans="1:21" ht="15.6">
      <c r="A1462" s="37"/>
      <c r="B1462" s="37"/>
      <c r="C1462" s="37"/>
      <c r="D1462" s="37"/>
      <c r="E1462" s="37"/>
      <c r="F1462" s="46"/>
      <c r="G1462" s="37"/>
      <c r="H1462" s="37"/>
      <c r="I1462" s="37"/>
      <c r="J1462" s="37"/>
      <c r="K1462" s="37"/>
      <c r="L1462" s="37"/>
      <c r="M1462" s="37"/>
      <c r="N1462" s="37"/>
      <c r="O1462" s="37"/>
      <c r="P1462" s="37"/>
      <c r="Q1462" s="37"/>
      <c r="R1462" s="37"/>
      <c r="S1462" s="37"/>
      <c r="T1462" s="37"/>
      <c r="U1462" s="37"/>
    </row>
    <row r="1463" spans="1:21" ht="15.6">
      <c r="A1463" s="37"/>
      <c r="B1463" s="37"/>
      <c r="C1463" s="37"/>
      <c r="D1463" s="37"/>
      <c r="E1463" s="37"/>
      <c r="F1463" s="46"/>
      <c r="G1463" s="37"/>
      <c r="H1463" s="37"/>
      <c r="I1463" s="37"/>
      <c r="J1463" s="37"/>
      <c r="K1463" s="37"/>
      <c r="L1463" s="37"/>
      <c r="M1463" s="37"/>
      <c r="N1463" s="37"/>
      <c r="O1463" s="37"/>
      <c r="P1463" s="37"/>
      <c r="Q1463" s="37"/>
      <c r="R1463" s="37"/>
      <c r="S1463" s="37"/>
      <c r="T1463" s="37"/>
      <c r="U1463" s="37"/>
    </row>
    <row r="1464" spans="1:21" ht="15.6">
      <c r="A1464" s="37"/>
      <c r="B1464" s="37"/>
      <c r="C1464" s="37"/>
      <c r="D1464" s="37"/>
      <c r="E1464" s="37"/>
      <c r="F1464" s="46"/>
      <c r="G1464" s="37"/>
      <c r="H1464" s="37"/>
      <c r="I1464" s="37"/>
      <c r="J1464" s="37"/>
      <c r="K1464" s="37"/>
      <c r="L1464" s="37"/>
      <c r="M1464" s="37"/>
      <c r="N1464" s="37"/>
      <c r="O1464" s="37"/>
      <c r="P1464" s="37"/>
      <c r="Q1464" s="37"/>
      <c r="R1464" s="37"/>
      <c r="S1464" s="37"/>
      <c r="T1464" s="37"/>
      <c r="U1464" s="37"/>
    </row>
    <row r="1465" spans="1:21" ht="15.6">
      <c r="A1465" s="37"/>
      <c r="B1465" s="37"/>
      <c r="C1465" s="37"/>
      <c r="D1465" s="37"/>
      <c r="E1465" s="37"/>
      <c r="F1465" s="46"/>
      <c r="G1465" s="37"/>
      <c r="H1465" s="37"/>
      <c r="I1465" s="37"/>
      <c r="J1465" s="37"/>
      <c r="K1465" s="37"/>
      <c r="L1465" s="37"/>
      <c r="M1465" s="37"/>
      <c r="N1465" s="37"/>
      <c r="O1465" s="37"/>
      <c r="P1465" s="37"/>
      <c r="Q1465" s="37"/>
      <c r="R1465" s="37"/>
      <c r="S1465" s="37"/>
      <c r="T1465" s="37"/>
      <c r="U1465" s="37"/>
    </row>
    <row r="1466" spans="1:21" ht="15.6">
      <c r="A1466" s="37"/>
      <c r="B1466" s="37"/>
      <c r="C1466" s="37"/>
      <c r="D1466" s="37"/>
      <c r="E1466" s="37"/>
      <c r="F1466" s="46"/>
      <c r="G1466" s="37"/>
      <c r="H1466" s="37"/>
      <c r="I1466" s="37"/>
      <c r="J1466" s="37"/>
      <c r="K1466" s="37"/>
      <c r="L1466" s="37"/>
      <c r="M1466" s="37"/>
      <c r="N1466" s="37"/>
      <c r="O1466" s="37"/>
      <c r="P1466" s="37"/>
      <c r="Q1466" s="37"/>
      <c r="R1466" s="37"/>
      <c r="S1466" s="37"/>
      <c r="T1466" s="37"/>
      <c r="U1466" s="37"/>
    </row>
    <row r="1467" spans="1:21" ht="15.6">
      <c r="A1467" s="37"/>
      <c r="B1467" s="37"/>
      <c r="C1467" s="37"/>
      <c r="D1467" s="37"/>
      <c r="E1467" s="37"/>
      <c r="F1467" s="46"/>
      <c r="G1467" s="37"/>
      <c r="H1467" s="37"/>
      <c r="I1467" s="37"/>
      <c r="J1467" s="37"/>
      <c r="K1467" s="37"/>
      <c r="L1467" s="37"/>
      <c r="M1467" s="37"/>
      <c r="N1467" s="37"/>
      <c r="O1467" s="37"/>
      <c r="P1467" s="37"/>
      <c r="Q1467" s="37"/>
      <c r="R1467" s="37"/>
      <c r="S1467" s="37"/>
      <c r="T1467" s="37"/>
      <c r="U1467" s="37"/>
    </row>
    <row r="1468" spans="1:21" ht="15.6">
      <c r="A1468" s="37"/>
      <c r="B1468" s="37"/>
      <c r="C1468" s="37"/>
      <c r="D1468" s="37"/>
      <c r="E1468" s="37"/>
      <c r="F1468" s="46"/>
      <c r="G1468" s="37"/>
      <c r="H1468" s="37"/>
      <c r="I1468" s="37"/>
      <c r="J1468" s="37"/>
      <c r="K1468" s="37"/>
      <c r="L1468" s="37"/>
      <c r="M1468" s="37"/>
      <c r="N1468" s="37"/>
      <c r="O1468" s="37"/>
      <c r="P1468" s="37"/>
      <c r="Q1468" s="37"/>
      <c r="R1468" s="37"/>
      <c r="S1468" s="37"/>
      <c r="T1468" s="37"/>
      <c r="U1468" s="37"/>
    </row>
    <row r="1469" spans="1:21" ht="15.6">
      <c r="A1469" s="37"/>
      <c r="B1469" s="37"/>
      <c r="C1469" s="37"/>
      <c r="D1469" s="37"/>
      <c r="E1469" s="37"/>
      <c r="F1469" s="46"/>
      <c r="G1469" s="37"/>
      <c r="H1469" s="37"/>
      <c r="I1469" s="37"/>
      <c r="J1469" s="37"/>
      <c r="K1469" s="37"/>
      <c r="L1469" s="37"/>
      <c r="M1469" s="37"/>
      <c r="N1469" s="37"/>
      <c r="O1469" s="37"/>
      <c r="P1469" s="37"/>
      <c r="Q1469" s="37"/>
      <c r="R1469" s="37"/>
      <c r="S1469" s="37"/>
      <c r="T1469" s="37"/>
      <c r="U1469" s="37"/>
    </row>
    <row r="1470" spans="1:21" ht="15.6">
      <c r="A1470" s="37"/>
      <c r="B1470" s="37"/>
      <c r="C1470" s="37"/>
      <c r="D1470" s="37"/>
      <c r="E1470" s="37"/>
      <c r="F1470" s="46"/>
      <c r="G1470" s="37"/>
      <c r="H1470" s="37"/>
      <c r="I1470" s="37"/>
      <c r="J1470" s="37"/>
      <c r="K1470" s="37"/>
      <c r="L1470" s="37"/>
      <c r="M1470" s="37"/>
      <c r="N1470" s="37"/>
      <c r="O1470" s="37"/>
      <c r="P1470" s="37"/>
      <c r="Q1470" s="37"/>
      <c r="R1470" s="37"/>
      <c r="S1470" s="37"/>
      <c r="T1470" s="37"/>
      <c r="U1470" s="37"/>
    </row>
    <row r="1471" spans="1:21" ht="15.6">
      <c r="A1471" s="37"/>
      <c r="B1471" s="37"/>
      <c r="C1471" s="37"/>
      <c r="D1471" s="37"/>
      <c r="E1471" s="37"/>
      <c r="F1471" s="46"/>
      <c r="G1471" s="37"/>
      <c r="H1471" s="37"/>
      <c r="I1471" s="37"/>
      <c r="J1471" s="37"/>
      <c r="K1471" s="37"/>
      <c r="L1471" s="37"/>
      <c r="M1471" s="37"/>
      <c r="N1471" s="37"/>
      <c r="O1471" s="37"/>
      <c r="P1471" s="37"/>
      <c r="Q1471" s="37"/>
      <c r="R1471" s="37"/>
      <c r="S1471" s="37"/>
      <c r="T1471" s="37"/>
      <c r="U1471" s="37"/>
    </row>
    <row r="1472" spans="1:21" ht="15.6">
      <c r="A1472" s="37"/>
      <c r="B1472" s="37"/>
      <c r="C1472" s="37"/>
      <c r="D1472" s="37"/>
      <c r="E1472" s="37"/>
      <c r="F1472" s="46"/>
      <c r="G1472" s="37"/>
      <c r="H1472" s="37"/>
      <c r="I1472" s="37"/>
      <c r="J1472" s="37"/>
      <c r="K1472" s="37"/>
      <c r="L1472" s="37"/>
      <c r="M1472" s="37"/>
      <c r="N1472" s="37"/>
      <c r="O1472" s="37"/>
      <c r="P1472" s="37"/>
      <c r="Q1472" s="37"/>
      <c r="R1472" s="37"/>
      <c r="S1472" s="37"/>
      <c r="T1472" s="37"/>
      <c r="U1472" s="37"/>
    </row>
    <row r="1473" spans="1:21" ht="15.6">
      <c r="A1473" s="37"/>
      <c r="B1473" s="37"/>
      <c r="C1473" s="37"/>
      <c r="D1473" s="37"/>
      <c r="E1473" s="37"/>
      <c r="F1473" s="46"/>
      <c r="G1473" s="37"/>
      <c r="H1473" s="37"/>
      <c r="I1473" s="37"/>
      <c r="J1473" s="37"/>
      <c r="K1473" s="37"/>
      <c r="L1473" s="37"/>
      <c r="M1473" s="37"/>
      <c r="N1473" s="37"/>
      <c r="O1473" s="37"/>
      <c r="P1473" s="37"/>
      <c r="Q1473" s="37"/>
      <c r="R1473" s="37"/>
      <c r="S1473" s="37"/>
      <c r="T1473" s="37"/>
      <c r="U1473" s="37"/>
    </row>
    <row r="1474" spans="1:21" ht="15.6">
      <c r="A1474" s="37"/>
      <c r="B1474" s="37"/>
      <c r="C1474" s="37"/>
      <c r="D1474" s="37"/>
      <c r="E1474" s="37"/>
      <c r="F1474" s="46"/>
      <c r="G1474" s="37"/>
      <c r="H1474" s="37"/>
      <c r="I1474" s="37"/>
      <c r="J1474" s="37"/>
      <c r="K1474" s="37"/>
      <c r="L1474" s="37"/>
      <c r="M1474" s="37"/>
      <c r="N1474" s="37"/>
      <c r="O1474" s="37"/>
      <c r="P1474" s="37"/>
      <c r="Q1474" s="37"/>
      <c r="R1474" s="37"/>
      <c r="S1474" s="37"/>
      <c r="T1474" s="37"/>
      <c r="U1474" s="37"/>
    </row>
    <row r="1475" spans="1:21" ht="15.6">
      <c r="A1475" s="37"/>
      <c r="B1475" s="37"/>
      <c r="C1475" s="37"/>
      <c r="D1475" s="37"/>
      <c r="E1475" s="37"/>
      <c r="F1475" s="46"/>
      <c r="G1475" s="37"/>
      <c r="H1475" s="37"/>
      <c r="I1475" s="37"/>
      <c r="J1475" s="37"/>
      <c r="K1475" s="37"/>
      <c r="L1475" s="37"/>
      <c r="M1475" s="37"/>
      <c r="N1475" s="37"/>
      <c r="O1475" s="37"/>
      <c r="P1475" s="37"/>
      <c r="Q1475" s="37"/>
      <c r="R1475" s="37"/>
      <c r="S1475" s="37"/>
      <c r="T1475" s="37"/>
      <c r="U1475" s="37"/>
    </row>
    <row r="1476" spans="1:21" ht="15.6">
      <c r="A1476" s="37"/>
      <c r="B1476" s="37"/>
      <c r="C1476" s="37"/>
      <c r="D1476" s="37"/>
      <c r="E1476" s="37"/>
      <c r="F1476" s="46"/>
      <c r="G1476" s="37"/>
      <c r="H1476" s="37"/>
      <c r="I1476" s="37"/>
      <c r="J1476" s="37"/>
      <c r="K1476" s="37"/>
      <c r="L1476" s="37"/>
      <c r="M1476" s="37"/>
      <c r="N1476" s="37"/>
      <c r="O1476" s="37"/>
      <c r="P1476" s="37"/>
      <c r="Q1476" s="37"/>
      <c r="R1476" s="37"/>
      <c r="S1476" s="37"/>
      <c r="T1476" s="37"/>
      <c r="U1476" s="37"/>
    </row>
    <row r="1477" spans="1:21" ht="15.6">
      <c r="A1477" s="37"/>
      <c r="B1477" s="37"/>
      <c r="C1477" s="37"/>
      <c r="D1477" s="37"/>
      <c r="E1477" s="37"/>
      <c r="F1477" s="46"/>
      <c r="G1477" s="37"/>
      <c r="H1477" s="37"/>
      <c r="I1477" s="37"/>
      <c r="J1477" s="37"/>
      <c r="K1477" s="37"/>
      <c r="L1477" s="37"/>
      <c r="M1477" s="37"/>
      <c r="N1477" s="37"/>
      <c r="O1477" s="37"/>
      <c r="P1477" s="37"/>
      <c r="Q1477" s="37"/>
      <c r="R1477" s="37"/>
      <c r="S1477" s="37"/>
      <c r="T1477" s="37"/>
      <c r="U1477" s="37"/>
    </row>
    <row r="1478" spans="1:21" ht="15.6">
      <c r="A1478" s="37"/>
      <c r="B1478" s="37"/>
      <c r="C1478" s="37"/>
      <c r="D1478" s="37"/>
      <c r="E1478" s="37"/>
      <c r="F1478" s="46"/>
      <c r="G1478" s="37"/>
      <c r="H1478" s="37"/>
      <c r="I1478" s="37"/>
      <c r="J1478" s="37"/>
      <c r="K1478" s="37"/>
      <c r="L1478" s="37"/>
      <c r="M1478" s="37"/>
      <c r="N1478" s="37"/>
      <c r="O1478" s="37"/>
      <c r="P1478" s="37"/>
      <c r="Q1478" s="37"/>
      <c r="R1478" s="37"/>
      <c r="S1478" s="37"/>
      <c r="T1478" s="37"/>
      <c r="U1478" s="37"/>
    </row>
    <row r="1479" spans="1:21" ht="15.6">
      <c r="A1479" s="37"/>
      <c r="B1479" s="37"/>
      <c r="C1479" s="37"/>
      <c r="D1479" s="37"/>
      <c r="E1479" s="37"/>
      <c r="F1479" s="46"/>
      <c r="G1479" s="37"/>
      <c r="H1479" s="37"/>
      <c r="I1479" s="37"/>
      <c r="J1479" s="37"/>
      <c r="K1479" s="37"/>
      <c r="L1479" s="37"/>
      <c r="M1479" s="37"/>
      <c r="N1479" s="37"/>
      <c r="O1479" s="37"/>
      <c r="P1479" s="37"/>
      <c r="Q1479" s="37"/>
      <c r="R1479" s="37"/>
      <c r="S1479" s="37"/>
      <c r="T1479" s="37"/>
      <c r="U1479" s="37"/>
    </row>
    <row r="1480" spans="1:21" ht="15.6">
      <c r="A1480" s="37"/>
      <c r="B1480" s="37"/>
      <c r="C1480" s="37"/>
      <c r="D1480" s="37"/>
      <c r="E1480" s="37"/>
      <c r="F1480" s="46"/>
      <c r="G1480" s="37"/>
      <c r="H1480" s="37"/>
      <c r="I1480" s="37"/>
      <c r="J1480" s="37"/>
      <c r="K1480" s="37"/>
      <c r="L1480" s="37"/>
      <c r="M1480" s="37"/>
      <c r="N1480" s="37"/>
      <c r="O1480" s="37"/>
      <c r="P1480" s="37"/>
      <c r="Q1480" s="37"/>
      <c r="R1480" s="37"/>
      <c r="S1480" s="37"/>
      <c r="T1480" s="37"/>
      <c r="U1480" s="37"/>
    </row>
    <row r="1481" spans="1:21" ht="15.6">
      <c r="A1481" s="37"/>
      <c r="B1481" s="37"/>
      <c r="C1481" s="37"/>
      <c r="D1481" s="37"/>
      <c r="E1481" s="37"/>
      <c r="F1481" s="46"/>
      <c r="G1481" s="37"/>
      <c r="H1481" s="37"/>
      <c r="I1481" s="37"/>
      <c r="J1481" s="37"/>
      <c r="K1481" s="37"/>
      <c r="L1481" s="37"/>
      <c r="M1481" s="37"/>
      <c r="N1481" s="37"/>
      <c r="O1481" s="37"/>
      <c r="P1481" s="37"/>
      <c r="Q1481" s="37"/>
      <c r="R1481" s="37"/>
      <c r="S1481" s="37"/>
      <c r="T1481" s="37"/>
      <c r="U1481" s="37"/>
    </row>
    <row r="1482" spans="1:21" ht="15.6">
      <c r="A1482" s="37"/>
      <c r="B1482" s="37"/>
      <c r="C1482" s="37"/>
      <c r="D1482" s="37"/>
      <c r="E1482" s="37"/>
      <c r="F1482" s="46"/>
      <c r="G1482" s="37"/>
      <c r="H1482" s="37"/>
      <c r="I1482" s="37"/>
      <c r="J1482" s="37"/>
      <c r="K1482" s="37"/>
      <c r="L1482" s="37"/>
      <c r="M1482" s="37"/>
      <c r="N1482" s="37"/>
      <c r="O1482" s="37"/>
      <c r="P1482" s="37"/>
      <c r="Q1482" s="37"/>
      <c r="R1482" s="37"/>
      <c r="S1482" s="37"/>
      <c r="T1482" s="37"/>
      <c r="U1482" s="37"/>
    </row>
    <row r="1483" spans="1:21" ht="15.6">
      <c r="A1483" s="37"/>
      <c r="B1483" s="37"/>
      <c r="C1483" s="37"/>
      <c r="D1483" s="37"/>
      <c r="E1483" s="37"/>
      <c r="F1483" s="46"/>
      <c r="G1483" s="37"/>
      <c r="H1483" s="37"/>
      <c r="I1483" s="37"/>
      <c r="J1483" s="37"/>
      <c r="K1483" s="37"/>
      <c r="L1483" s="37"/>
      <c r="M1483" s="37"/>
      <c r="N1483" s="37"/>
      <c r="O1483" s="37"/>
      <c r="P1483" s="37"/>
      <c r="Q1483" s="37"/>
      <c r="R1483" s="37"/>
      <c r="S1483" s="37"/>
      <c r="T1483" s="37"/>
      <c r="U1483" s="37"/>
    </row>
    <row r="1484" spans="1:21" ht="15.6">
      <c r="A1484" s="37"/>
      <c r="B1484" s="37"/>
      <c r="C1484" s="37"/>
      <c r="D1484" s="37"/>
      <c r="E1484" s="37"/>
      <c r="F1484" s="46"/>
      <c r="G1484" s="37"/>
      <c r="H1484" s="37"/>
      <c r="I1484" s="37"/>
      <c r="J1484" s="37"/>
      <c r="K1484" s="37"/>
      <c r="L1484" s="37"/>
      <c r="M1484" s="37"/>
      <c r="N1484" s="37"/>
      <c r="O1484" s="37"/>
      <c r="P1484" s="37"/>
      <c r="Q1484" s="37"/>
      <c r="R1484" s="37"/>
      <c r="S1484" s="37"/>
      <c r="T1484" s="37"/>
      <c r="U1484" s="37"/>
    </row>
    <row r="1485" spans="1:21" ht="15.6">
      <c r="A1485" s="37"/>
      <c r="B1485" s="37"/>
      <c r="C1485" s="37"/>
      <c r="D1485" s="37"/>
      <c r="E1485" s="37"/>
      <c r="F1485" s="46"/>
      <c r="G1485" s="37"/>
      <c r="H1485" s="37"/>
      <c r="I1485" s="37"/>
      <c r="J1485" s="37"/>
      <c r="K1485" s="37"/>
      <c r="L1485" s="37"/>
      <c r="M1485" s="37"/>
      <c r="N1485" s="37"/>
      <c r="O1485" s="37"/>
      <c r="P1485" s="37"/>
      <c r="Q1485" s="37"/>
      <c r="R1485" s="37"/>
      <c r="S1485" s="37"/>
      <c r="T1485" s="37"/>
      <c r="U1485" s="37"/>
    </row>
    <row r="1486" spans="1:21" ht="15.6">
      <c r="A1486" s="37"/>
      <c r="B1486" s="37"/>
      <c r="C1486" s="37"/>
      <c r="D1486" s="37"/>
      <c r="E1486" s="37"/>
      <c r="F1486" s="46"/>
      <c r="G1486" s="37"/>
      <c r="H1486" s="37"/>
      <c r="I1486" s="37"/>
      <c r="J1486" s="37"/>
      <c r="K1486" s="37"/>
      <c r="L1486" s="37"/>
      <c r="M1486" s="37"/>
      <c r="N1486" s="37"/>
      <c r="O1486" s="37"/>
      <c r="P1486" s="37"/>
      <c r="Q1486" s="37"/>
      <c r="R1486" s="37"/>
      <c r="S1486" s="37"/>
      <c r="T1486" s="37"/>
      <c r="U1486" s="37"/>
    </row>
    <row r="1487" spans="1:21" ht="15.6">
      <c r="A1487" s="37"/>
      <c r="B1487" s="37"/>
      <c r="C1487" s="37"/>
      <c r="D1487" s="37"/>
      <c r="E1487" s="37"/>
      <c r="F1487" s="46"/>
      <c r="G1487" s="37"/>
      <c r="H1487" s="37"/>
      <c r="I1487" s="37"/>
      <c r="J1487" s="37"/>
      <c r="K1487" s="37"/>
      <c r="L1487" s="37"/>
      <c r="M1487" s="37"/>
      <c r="N1487" s="37"/>
      <c r="O1487" s="37"/>
      <c r="P1487" s="37"/>
      <c r="Q1487" s="37"/>
      <c r="R1487" s="37"/>
      <c r="S1487" s="37"/>
      <c r="T1487" s="37"/>
      <c r="U1487" s="37"/>
    </row>
    <row r="1488" spans="1:21" ht="15.6">
      <c r="A1488" s="37"/>
      <c r="B1488" s="37"/>
      <c r="C1488" s="37"/>
      <c r="D1488" s="37"/>
      <c r="E1488" s="37"/>
      <c r="F1488" s="46"/>
      <c r="G1488" s="37"/>
      <c r="H1488" s="37"/>
      <c r="I1488" s="37"/>
      <c r="J1488" s="37"/>
      <c r="K1488" s="37"/>
      <c r="L1488" s="37"/>
      <c r="M1488" s="37"/>
      <c r="N1488" s="37"/>
      <c r="O1488" s="37"/>
      <c r="P1488" s="37"/>
      <c r="Q1488" s="37"/>
      <c r="R1488" s="37"/>
      <c r="S1488" s="37"/>
      <c r="T1488" s="37"/>
      <c r="U1488" s="37"/>
    </row>
    <row r="1489" spans="1:21" ht="15.6">
      <c r="A1489" s="37"/>
      <c r="B1489" s="37"/>
      <c r="C1489" s="37"/>
      <c r="D1489" s="37"/>
      <c r="E1489" s="37"/>
      <c r="F1489" s="46"/>
      <c r="G1489" s="37"/>
      <c r="H1489" s="37"/>
      <c r="I1489" s="37"/>
      <c r="J1489" s="37"/>
      <c r="K1489" s="37"/>
      <c r="L1489" s="37"/>
      <c r="M1489" s="37"/>
      <c r="N1489" s="37"/>
      <c r="O1489" s="37"/>
      <c r="P1489" s="37"/>
      <c r="Q1489" s="37"/>
      <c r="R1489" s="37"/>
      <c r="S1489" s="37"/>
      <c r="T1489" s="37"/>
      <c r="U1489" s="37"/>
    </row>
    <row r="1490" spans="1:21" ht="15.6">
      <c r="A1490" s="37"/>
      <c r="B1490" s="37"/>
      <c r="C1490" s="37"/>
      <c r="D1490" s="37"/>
      <c r="E1490" s="37"/>
      <c r="F1490" s="46"/>
      <c r="G1490" s="37"/>
      <c r="H1490" s="37"/>
      <c r="I1490" s="37"/>
      <c r="J1490" s="37"/>
      <c r="K1490" s="37"/>
      <c r="L1490" s="37"/>
      <c r="M1490" s="37"/>
      <c r="N1490" s="37"/>
      <c r="O1490" s="37"/>
      <c r="P1490" s="37"/>
      <c r="Q1490" s="37"/>
      <c r="R1490" s="37"/>
      <c r="S1490" s="37"/>
      <c r="T1490" s="37"/>
      <c r="U1490" s="37"/>
    </row>
    <row r="1491" spans="1:21" ht="15.6">
      <c r="A1491" s="37"/>
      <c r="B1491" s="37"/>
      <c r="C1491" s="37"/>
      <c r="D1491" s="37"/>
      <c r="E1491" s="37"/>
      <c r="F1491" s="46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  <c r="Q1491" s="37"/>
      <c r="R1491" s="37"/>
      <c r="S1491" s="37"/>
      <c r="T1491" s="37"/>
      <c r="U1491" s="37"/>
    </row>
    <row r="1492" spans="1:21" ht="15.6">
      <c r="A1492" s="37"/>
      <c r="B1492" s="37"/>
      <c r="C1492" s="37"/>
      <c r="D1492" s="37"/>
      <c r="E1492" s="37"/>
      <c r="F1492" s="46"/>
      <c r="G1492" s="37"/>
      <c r="H1492" s="37"/>
      <c r="I1492" s="37"/>
      <c r="J1492" s="37"/>
      <c r="K1492" s="37"/>
      <c r="L1492" s="37"/>
      <c r="M1492" s="37"/>
      <c r="N1492" s="37"/>
      <c r="O1492" s="37"/>
      <c r="P1492" s="37"/>
      <c r="Q1492" s="37"/>
      <c r="R1492" s="37"/>
      <c r="S1492" s="37"/>
      <c r="T1492" s="37"/>
      <c r="U1492" s="37"/>
    </row>
    <row r="1493" spans="1:21" ht="15.6">
      <c r="A1493" s="37"/>
      <c r="B1493" s="37"/>
      <c r="C1493" s="37"/>
      <c r="D1493" s="37"/>
      <c r="E1493" s="37"/>
      <c r="F1493" s="46"/>
      <c r="G1493" s="37"/>
      <c r="H1493" s="37"/>
      <c r="I1493" s="37"/>
      <c r="J1493" s="37"/>
      <c r="K1493" s="37"/>
      <c r="L1493" s="37"/>
      <c r="M1493" s="37"/>
      <c r="N1493" s="37"/>
      <c r="O1493" s="37"/>
      <c r="P1493" s="37"/>
      <c r="Q1493" s="37"/>
      <c r="R1493" s="37"/>
      <c r="S1493" s="37"/>
      <c r="T1493" s="37"/>
      <c r="U1493" s="37"/>
    </row>
    <row r="1494" spans="1:21" ht="15.6">
      <c r="A1494" s="37"/>
      <c r="B1494" s="37"/>
      <c r="C1494" s="37"/>
      <c r="D1494" s="37"/>
      <c r="E1494" s="37"/>
      <c r="F1494" s="46"/>
      <c r="G1494" s="37"/>
      <c r="H1494" s="37"/>
      <c r="I1494" s="37"/>
      <c r="J1494" s="37"/>
      <c r="K1494" s="37"/>
      <c r="L1494" s="37"/>
      <c r="M1494" s="37"/>
      <c r="N1494" s="37"/>
      <c r="O1494" s="37"/>
      <c r="P1494" s="37"/>
      <c r="Q1494" s="37"/>
      <c r="R1494" s="37"/>
      <c r="S1494" s="37"/>
      <c r="T1494" s="37"/>
      <c r="U1494" s="37"/>
    </row>
    <row r="1495" spans="1:21" ht="15.6">
      <c r="A1495" s="37"/>
      <c r="B1495" s="37"/>
      <c r="C1495" s="37"/>
      <c r="D1495" s="37"/>
      <c r="E1495" s="37"/>
      <c r="F1495" s="46"/>
      <c r="G1495" s="37"/>
      <c r="H1495" s="37"/>
      <c r="I1495" s="37"/>
      <c r="J1495" s="37"/>
      <c r="K1495" s="37"/>
      <c r="L1495" s="37"/>
      <c r="M1495" s="37"/>
      <c r="N1495" s="37"/>
      <c r="O1495" s="37"/>
      <c r="P1495" s="37"/>
      <c r="Q1495" s="37"/>
      <c r="R1495" s="37"/>
      <c r="S1495" s="37"/>
      <c r="T1495" s="37"/>
      <c r="U1495" s="37"/>
    </row>
    <row r="1496" spans="1:21" ht="15.6">
      <c r="A1496" s="37"/>
      <c r="B1496" s="37"/>
      <c r="C1496" s="37"/>
      <c r="D1496" s="37"/>
      <c r="E1496" s="37"/>
      <c r="F1496" s="46"/>
      <c r="G1496" s="37"/>
      <c r="H1496" s="37"/>
      <c r="I1496" s="37"/>
      <c r="J1496" s="37"/>
      <c r="K1496" s="37"/>
      <c r="L1496" s="37"/>
      <c r="M1496" s="37"/>
      <c r="N1496" s="37"/>
      <c r="O1496" s="37"/>
      <c r="P1496" s="37"/>
      <c r="Q1496" s="37"/>
      <c r="R1496" s="37"/>
      <c r="S1496" s="37"/>
      <c r="T1496" s="37"/>
      <c r="U1496" s="37"/>
    </row>
    <row r="1497" spans="1:21" ht="15.6">
      <c r="A1497" s="37"/>
      <c r="B1497" s="37"/>
      <c r="C1497" s="37"/>
      <c r="D1497" s="37"/>
      <c r="E1497" s="37"/>
      <c r="F1497" s="46"/>
      <c r="G1497" s="37"/>
      <c r="H1497" s="37"/>
      <c r="I1497" s="37"/>
      <c r="J1497" s="37"/>
      <c r="K1497" s="37"/>
      <c r="L1497" s="37"/>
      <c r="M1497" s="37"/>
      <c r="N1497" s="37"/>
      <c r="O1497" s="37"/>
      <c r="P1497" s="37"/>
      <c r="Q1497" s="37"/>
      <c r="R1497" s="37"/>
      <c r="S1497" s="37"/>
      <c r="T1497" s="37"/>
      <c r="U1497" s="37"/>
    </row>
    <row r="1498" spans="1:21" ht="15.6">
      <c r="A1498" s="37"/>
      <c r="B1498" s="37"/>
      <c r="C1498" s="37"/>
      <c r="D1498" s="37"/>
      <c r="E1498" s="37"/>
      <c r="F1498" s="46"/>
      <c r="G1498" s="37"/>
      <c r="H1498" s="37"/>
      <c r="I1498" s="37"/>
      <c r="J1498" s="37"/>
      <c r="K1498" s="37"/>
      <c r="L1498" s="37"/>
      <c r="M1498" s="37"/>
      <c r="N1498" s="37"/>
      <c r="O1498" s="37"/>
      <c r="P1498" s="37"/>
      <c r="Q1498" s="37"/>
      <c r="R1498" s="37"/>
      <c r="S1498" s="37"/>
      <c r="T1498" s="37"/>
      <c r="U1498" s="37"/>
    </row>
    <row r="1499" spans="1:21" ht="15.6">
      <c r="A1499" s="37"/>
      <c r="B1499" s="37"/>
      <c r="C1499" s="37"/>
      <c r="D1499" s="37"/>
      <c r="E1499" s="37"/>
      <c r="F1499" s="46"/>
      <c r="G1499" s="37"/>
      <c r="H1499" s="37"/>
      <c r="I1499" s="37"/>
      <c r="J1499" s="37"/>
      <c r="K1499" s="37"/>
      <c r="L1499" s="37"/>
      <c r="M1499" s="37"/>
      <c r="N1499" s="37"/>
      <c r="O1499" s="37"/>
      <c r="P1499" s="37"/>
      <c r="Q1499" s="37"/>
      <c r="R1499" s="37"/>
      <c r="S1499" s="37"/>
      <c r="T1499" s="37"/>
      <c r="U1499" s="37"/>
    </row>
    <row r="1500" spans="1:21" ht="15.6">
      <c r="A1500" s="37"/>
      <c r="B1500" s="37"/>
      <c r="C1500" s="37"/>
      <c r="D1500" s="37"/>
      <c r="E1500" s="37"/>
      <c r="F1500" s="46"/>
      <c r="G1500" s="37"/>
      <c r="H1500" s="37"/>
      <c r="I1500" s="37"/>
      <c r="J1500" s="37"/>
      <c r="K1500" s="37"/>
      <c r="L1500" s="37"/>
      <c r="M1500" s="37"/>
      <c r="N1500" s="37"/>
      <c r="O1500" s="37"/>
      <c r="P1500" s="37"/>
      <c r="Q1500" s="37"/>
      <c r="R1500" s="37"/>
      <c r="S1500" s="37"/>
      <c r="T1500" s="37"/>
      <c r="U1500" s="37"/>
    </row>
    <row r="1501" spans="1:21" ht="15.6">
      <c r="A1501" s="37"/>
      <c r="B1501" s="37"/>
      <c r="C1501" s="37"/>
      <c r="D1501" s="37"/>
      <c r="E1501" s="37"/>
      <c r="F1501" s="46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</row>
    <row r="1502" spans="1:21" ht="15.6">
      <c r="A1502" s="37"/>
      <c r="B1502" s="37"/>
      <c r="C1502" s="37"/>
      <c r="D1502" s="37"/>
      <c r="E1502" s="37"/>
      <c r="F1502" s="46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</row>
    <row r="1503" spans="1:21" ht="15.6">
      <c r="A1503" s="37"/>
      <c r="B1503" s="37"/>
      <c r="C1503" s="37"/>
      <c r="D1503" s="37"/>
      <c r="E1503" s="37"/>
      <c r="F1503" s="46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</row>
    <row r="1504" spans="1:21" ht="15.6">
      <c r="A1504" s="37"/>
      <c r="B1504" s="37"/>
      <c r="C1504" s="37"/>
      <c r="D1504" s="37"/>
      <c r="E1504" s="37"/>
      <c r="F1504" s="46"/>
      <c r="G1504" s="37"/>
      <c r="H1504" s="37"/>
      <c r="I1504" s="37"/>
      <c r="J1504" s="37"/>
      <c r="K1504" s="37"/>
      <c r="L1504" s="37"/>
      <c r="M1504" s="37"/>
      <c r="N1504" s="37"/>
      <c r="O1504" s="37"/>
      <c r="P1504" s="37"/>
      <c r="Q1504" s="37"/>
      <c r="R1504" s="37"/>
      <c r="S1504" s="37"/>
      <c r="T1504" s="37"/>
      <c r="U1504" s="37"/>
    </row>
    <row r="1505" spans="1:21" ht="15.6">
      <c r="A1505" s="37"/>
      <c r="B1505" s="37"/>
      <c r="C1505" s="37"/>
      <c r="D1505" s="37"/>
      <c r="E1505" s="37"/>
      <c r="F1505" s="46"/>
      <c r="G1505" s="37"/>
      <c r="H1505" s="37"/>
      <c r="I1505" s="37"/>
      <c r="J1505" s="37"/>
      <c r="K1505" s="37"/>
      <c r="L1505" s="37"/>
      <c r="M1505" s="37"/>
      <c r="N1505" s="37"/>
      <c r="O1505" s="37"/>
      <c r="P1505" s="37"/>
      <c r="Q1505" s="37"/>
      <c r="R1505" s="37"/>
      <c r="S1505" s="37"/>
      <c r="T1505" s="37"/>
      <c r="U1505" s="37"/>
    </row>
    <row r="1506" spans="1:21" ht="15.6">
      <c r="A1506" s="37"/>
      <c r="B1506" s="37"/>
      <c r="C1506" s="37"/>
      <c r="D1506" s="37"/>
      <c r="E1506" s="37"/>
      <c r="F1506" s="46"/>
      <c r="G1506" s="37"/>
      <c r="H1506" s="37"/>
      <c r="I1506" s="37"/>
      <c r="J1506" s="37"/>
      <c r="K1506" s="37"/>
      <c r="L1506" s="37"/>
      <c r="M1506" s="37"/>
      <c r="N1506" s="37"/>
      <c r="O1506" s="37"/>
      <c r="P1506" s="37"/>
      <c r="Q1506" s="37"/>
      <c r="R1506" s="37"/>
      <c r="S1506" s="37"/>
      <c r="T1506" s="37"/>
      <c r="U1506" s="37"/>
    </row>
    <row r="1507" spans="1:21" ht="15.6">
      <c r="A1507" s="37"/>
      <c r="B1507" s="37"/>
      <c r="C1507" s="37"/>
      <c r="D1507" s="37"/>
      <c r="E1507" s="37"/>
      <c r="F1507" s="46"/>
      <c r="G1507" s="37"/>
      <c r="H1507" s="37"/>
      <c r="I1507" s="37"/>
      <c r="J1507" s="37"/>
      <c r="K1507" s="37"/>
      <c r="L1507" s="37"/>
      <c r="M1507" s="37"/>
      <c r="N1507" s="37"/>
      <c r="O1507" s="37"/>
      <c r="P1507" s="37"/>
      <c r="Q1507" s="37"/>
      <c r="R1507" s="37"/>
      <c r="S1507" s="37"/>
      <c r="T1507" s="37"/>
      <c r="U1507" s="37"/>
    </row>
    <row r="1508" spans="1:21" ht="15.6">
      <c r="A1508" s="37"/>
      <c r="B1508" s="37"/>
      <c r="C1508" s="37"/>
      <c r="D1508" s="37"/>
      <c r="E1508" s="37"/>
      <c r="F1508" s="46"/>
      <c r="G1508" s="37"/>
      <c r="H1508" s="37"/>
      <c r="I1508" s="37"/>
      <c r="J1508" s="37"/>
      <c r="K1508" s="37"/>
      <c r="L1508" s="37"/>
      <c r="M1508" s="37"/>
      <c r="N1508" s="37"/>
      <c r="O1508" s="37"/>
      <c r="P1508" s="37"/>
      <c r="Q1508" s="37"/>
      <c r="R1508" s="37"/>
      <c r="S1508" s="37"/>
      <c r="T1508" s="37"/>
      <c r="U1508" s="37"/>
    </row>
    <row r="1509" spans="1:21" ht="15.6">
      <c r="A1509" s="37"/>
      <c r="B1509" s="37"/>
      <c r="C1509" s="37"/>
      <c r="D1509" s="37"/>
      <c r="E1509" s="37"/>
      <c r="F1509" s="46"/>
      <c r="G1509" s="37"/>
      <c r="H1509" s="37"/>
      <c r="I1509" s="37"/>
      <c r="J1509" s="37"/>
      <c r="K1509" s="37"/>
      <c r="L1509" s="37"/>
      <c r="M1509" s="37"/>
      <c r="N1509" s="37"/>
      <c r="O1509" s="37"/>
      <c r="P1509" s="37"/>
      <c r="Q1509" s="37"/>
      <c r="R1509" s="37"/>
      <c r="S1509" s="37"/>
      <c r="T1509" s="37"/>
      <c r="U1509" s="37"/>
    </row>
    <row r="1510" spans="1:21" ht="15.6">
      <c r="A1510" s="37"/>
      <c r="B1510" s="37"/>
      <c r="C1510" s="37"/>
      <c r="D1510" s="37"/>
      <c r="E1510" s="37"/>
      <c r="F1510" s="46"/>
      <c r="G1510" s="37"/>
      <c r="H1510" s="37"/>
      <c r="I1510" s="37"/>
      <c r="J1510" s="37"/>
      <c r="K1510" s="37"/>
      <c r="L1510" s="37"/>
      <c r="M1510" s="37"/>
      <c r="N1510" s="37"/>
      <c r="O1510" s="37"/>
      <c r="P1510" s="37"/>
      <c r="Q1510" s="37"/>
      <c r="R1510" s="37"/>
      <c r="S1510" s="37"/>
      <c r="T1510" s="37"/>
      <c r="U1510" s="37"/>
    </row>
    <row r="1511" spans="1:21" ht="15.6">
      <c r="A1511" s="37"/>
      <c r="B1511" s="37"/>
      <c r="C1511" s="37"/>
      <c r="D1511" s="37"/>
      <c r="E1511" s="37"/>
      <c r="F1511" s="46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</row>
    <row r="1512" spans="1:21" ht="15.6">
      <c r="A1512" s="37"/>
      <c r="B1512" s="37"/>
      <c r="C1512" s="37"/>
      <c r="D1512" s="37"/>
      <c r="E1512" s="37"/>
      <c r="F1512" s="46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</row>
    <row r="1513" spans="1:21" ht="15.6">
      <c r="A1513" s="37"/>
      <c r="B1513" s="37"/>
      <c r="C1513" s="37"/>
      <c r="D1513" s="37"/>
      <c r="E1513" s="37"/>
      <c r="F1513" s="46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</row>
    <row r="1514" spans="1:21" ht="15.6">
      <c r="A1514" s="37"/>
      <c r="B1514" s="37"/>
      <c r="C1514" s="37"/>
      <c r="D1514" s="37"/>
      <c r="E1514" s="37"/>
      <c r="F1514" s="46"/>
      <c r="G1514" s="37"/>
      <c r="H1514" s="37"/>
      <c r="I1514" s="37"/>
      <c r="J1514" s="37"/>
      <c r="K1514" s="37"/>
      <c r="L1514" s="37"/>
      <c r="M1514" s="37"/>
      <c r="N1514" s="37"/>
      <c r="O1514" s="37"/>
      <c r="P1514" s="37"/>
      <c r="Q1514" s="37"/>
      <c r="R1514" s="37"/>
      <c r="S1514" s="37"/>
      <c r="T1514" s="37"/>
      <c r="U1514" s="37"/>
    </row>
    <row r="1515" spans="1:21" ht="15.6">
      <c r="A1515" s="37"/>
      <c r="B1515" s="37"/>
      <c r="C1515" s="37"/>
      <c r="D1515" s="37"/>
      <c r="E1515" s="37"/>
      <c r="F1515" s="46"/>
      <c r="G1515" s="37"/>
      <c r="H1515" s="37"/>
      <c r="I1515" s="37"/>
      <c r="J1515" s="37"/>
      <c r="K1515" s="37"/>
      <c r="L1515" s="37"/>
      <c r="M1515" s="37"/>
      <c r="N1515" s="37"/>
      <c r="O1515" s="37"/>
      <c r="P1515" s="37"/>
      <c r="Q1515" s="37"/>
      <c r="R1515" s="37"/>
      <c r="S1515" s="37"/>
      <c r="T1515" s="37"/>
      <c r="U1515" s="37"/>
    </row>
    <row r="1516" spans="1:21" ht="15.6">
      <c r="A1516" s="37"/>
      <c r="B1516" s="37"/>
      <c r="C1516" s="37"/>
      <c r="D1516" s="37"/>
      <c r="E1516" s="37"/>
      <c r="F1516" s="46"/>
      <c r="G1516" s="37"/>
      <c r="H1516" s="37"/>
      <c r="I1516" s="37"/>
      <c r="J1516" s="37"/>
      <c r="K1516" s="37"/>
      <c r="L1516" s="37"/>
      <c r="M1516" s="37"/>
      <c r="N1516" s="37"/>
      <c r="O1516" s="37"/>
      <c r="P1516" s="37"/>
      <c r="Q1516" s="37"/>
      <c r="R1516" s="37"/>
      <c r="S1516" s="37"/>
      <c r="T1516" s="37"/>
      <c r="U1516" s="37"/>
    </row>
    <row r="1517" spans="1:21" ht="15.6">
      <c r="A1517" s="37"/>
      <c r="B1517" s="37"/>
      <c r="C1517" s="37"/>
      <c r="D1517" s="37"/>
      <c r="E1517" s="37"/>
      <c r="F1517" s="46"/>
      <c r="G1517" s="37"/>
      <c r="H1517" s="37"/>
      <c r="I1517" s="37"/>
      <c r="J1517" s="37"/>
      <c r="K1517" s="37"/>
      <c r="L1517" s="37"/>
      <c r="M1517" s="37"/>
      <c r="N1517" s="37"/>
      <c r="O1517" s="37"/>
      <c r="P1517" s="37"/>
      <c r="Q1517" s="37"/>
      <c r="R1517" s="37"/>
      <c r="S1517" s="37"/>
      <c r="T1517" s="37"/>
      <c r="U1517" s="37"/>
    </row>
    <row r="1518" spans="1:21" ht="15.6">
      <c r="A1518" s="37"/>
      <c r="B1518" s="37"/>
      <c r="C1518" s="37"/>
      <c r="D1518" s="37"/>
      <c r="E1518" s="37"/>
      <c r="F1518" s="46"/>
      <c r="G1518" s="37"/>
      <c r="H1518" s="37"/>
      <c r="I1518" s="37"/>
      <c r="J1518" s="37"/>
      <c r="K1518" s="37"/>
      <c r="L1518" s="37"/>
      <c r="M1518" s="37"/>
      <c r="N1518" s="37"/>
      <c r="O1518" s="37"/>
      <c r="P1518" s="37"/>
      <c r="Q1518" s="37"/>
      <c r="R1518" s="37"/>
      <c r="S1518" s="37"/>
      <c r="T1518" s="37"/>
      <c r="U1518" s="37"/>
    </row>
    <row r="1519" spans="1:21" ht="15.6">
      <c r="A1519" s="37"/>
      <c r="B1519" s="37"/>
      <c r="C1519" s="37"/>
      <c r="D1519" s="37"/>
      <c r="E1519" s="37"/>
      <c r="F1519" s="46"/>
      <c r="G1519" s="37"/>
      <c r="H1519" s="37"/>
      <c r="I1519" s="37"/>
      <c r="J1519" s="37"/>
      <c r="K1519" s="37"/>
      <c r="L1519" s="37"/>
      <c r="M1519" s="37"/>
      <c r="N1519" s="37"/>
      <c r="O1519" s="37"/>
      <c r="P1519" s="37"/>
      <c r="Q1519" s="37"/>
      <c r="R1519" s="37"/>
      <c r="S1519" s="37"/>
      <c r="T1519" s="37"/>
      <c r="U1519" s="37"/>
    </row>
    <row r="1520" spans="1:21" ht="15.6">
      <c r="A1520" s="37"/>
      <c r="B1520" s="37"/>
      <c r="C1520" s="37"/>
      <c r="D1520" s="37"/>
      <c r="E1520" s="37"/>
      <c r="F1520" s="46"/>
      <c r="G1520" s="37"/>
      <c r="H1520" s="37"/>
      <c r="I1520" s="37"/>
      <c r="J1520" s="37"/>
      <c r="K1520" s="37"/>
      <c r="L1520" s="37"/>
      <c r="M1520" s="37"/>
      <c r="N1520" s="37"/>
      <c r="O1520" s="37"/>
      <c r="P1520" s="37"/>
      <c r="Q1520" s="37"/>
      <c r="R1520" s="37"/>
      <c r="S1520" s="37"/>
      <c r="T1520" s="37"/>
      <c r="U1520" s="37"/>
    </row>
    <row r="1521" spans="1:21" ht="15.6">
      <c r="A1521" s="37"/>
      <c r="B1521" s="37"/>
      <c r="C1521" s="37"/>
      <c r="D1521" s="37"/>
      <c r="E1521" s="37"/>
      <c r="F1521" s="46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</row>
    <row r="1522" spans="1:21" ht="15.6">
      <c r="A1522" s="37"/>
      <c r="B1522" s="37"/>
      <c r="C1522" s="37"/>
      <c r="D1522" s="37"/>
      <c r="E1522" s="37"/>
      <c r="F1522" s="46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</row>
    <row r="1523" spans="1:21" ht="15.6">
      <c r="A1523" s="37"/>
      <c r="B1523" s="37"/>
      <c r="C1523" s="37"/>
      <c r="D1523" s="37"/>
      <c r="E1523" s="37"/>
      <c r="F1523" s="46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</row>
    <row r="1524" spans="1:21" ht="15.6">
      <c r="A1524" s="37"/>
      <c r="B1524" s="37"/>
      <c r="C1524" s="37"/>
      <c r="D1524" s="37"/>
      <c r="E1524" s="37"/>
      <c r="F1524" s="46"/>
      <c r="G1524" s="37"/>
      <c r="H1524" s="37"/>
      <c r="I1524" s="37"/>
      <c r="J1524" s="37"/>
      <c r="K1524" s="37"/>
      <c r="L1524" s="37"/>
      <c r="M1524" s="37"/>
      <c r="N1524" s="37"/>
      <c r="O1524" s="37"/>
      <c r="P1524" s="37"/>
      <c r="Q1524" s="37"/>
      <c r="R1524" s="37"/>
      <c r="S1524" s="37"/>
      <c r="T1524" s="37"/>
      <c r="U1524" s="37"/>
    </row>
    <row r="1525" spans="1:21" ht="15.6">
      <c r="A1525" s="37"/>
      <c r="B1525" s="37"/>
      <c r="C1525" s="37"/>
      <c r="D1525" s="37"/>
      <c r="E1525" s="37"/>
      <c r="F1525" s="46"/>
      <c r="G1525" s="37"/>
      <c r="H1525" s="37"/>
      <c r="I1525" s="37"/>
      <c r="J1525" s="37"/>
      <c r="K1525" s="37"/>
      <c r="L1525" s="37"/>
      <c r="M1525" s="37"/>
      <c r="N1525" s="37"/>
      <c r="O1525" s="37"/>
      <c r="P1525" s="37"/>
      <c r="Q1525" s="37"/>
      <c r="R1525" s="37"/>
      <c r="S1525" s="37"/>
      <c r="T1525" s="37"/>
      <c r="U1525" s="37"/>
    </row>
    <row r="1526" spans="1:21" ht="15.6">
      <c r="A1526" s="37"/>
      <c r="B1526" s="37"/>
      <c r="C1526" s="37"/>
      <c r="D1526" s="37"/>
      <c r="E1526" s="37"/>
      <c r="F1526" s="46"/>
      <c r="G1526" s="37"/>
      <c r="H1526" s="37"/>
      <c r="I1526" s="37"/>
      <c r="J1526" s="37"/>
      <c r="K1526" s="37"/>
      <c r="L1526" s="37"/>
      <c r="M1526" s="37"/>
      <c r="N1526" s="37"/>
      <c r="O1526" s="37"/>
      <c r="P1526" s="37"/>
      <c r="Q1526" s="37"/>
      <c r="R1526" s="37"/>
      <c r="S1526" s="37"/>
      <c r="T1526" s="37"/>
      <c r="U1526" s="37"/>
    </row>
    <row r="1527" spans="1:21" ht="15.6">
      <c r="A1527" s="37"/>
      <c r="B1527" s="37"/>
      <c r="C1527" s="37"/>
      <c r="D1527" s="37"/>
      <c r="E1527" s="37"/>
      <c r="F1527" s="46"/>
      <c r="G1527" s="37"/>
      <c r="H1527" s="37"/>
      <c r="I1527" s="37"/>
      <c r="J1527" s="37"/>
      <c r="K1527" s="37"/>
      <c r="L1527" s="37"/>
      <c r="M1527" s="37"/>
      <c r="N1527" s="37"/>
      <c r="O1527" s="37"/>
      <c r="P1527" s="37"/>
      <c r="Q1527" s="37"/>
      <c r="R1527" s="37"/>
      <c r="S1527" s="37"/>
      <c r="T1527" s="37"/>
      <c r="U1527" s="37"/>
    </row>
    <row r="1528" spans="1:21" ht="15.6">
      <c r="A1528" s="37"/>
      <c r="B1528" s="37"/>
      <c r="C1528" s="37"/>
      <c r="D1528" s="37"/>
      <c r="E1528" s="37"/>
      <c r="F1528" s="46"/>
      <c r="G1528" s="37"/>
      <c r="H1528" s="37"/>
      <c r="I1528" s="37"/>
      <c r="J1528" s="37"/>
      <c r="K1528" s="37"/>
      <c r="L1528" s="37"/>
      <c r="M1528" s="37"/>
      <c r="N1528" s="37"/>
      <c r="O1528" s="37"/>
      <c r="P1528" s="37"/>
      <c r="Q1528" s="37"/>
      <c r="R1528" s="37"/>
      <c r="S1528" s="37"/>
      <c r="T1528" s="37"/>
      <c r="U1528" s="37"/>
    </row>
    <row r="1529" spans="1:21" ht="15.6">
      <c r="A1529" s="37"/>
      <c r="B1529" s="37"/>
      <c r="C1529" s="37"/>
      <c r="D1529" s="37"/>
      <c r="E1529" s="37"/>
      <c r="F1529" s="46"/>
      <c r="G1529" s="37"/>
      <c r="H1529" s="37"/>
      <c r="I1529" s="37"/>
      <c r="J1529" s="37"/>
      <c r="K1529" s="37"/>
      <c r="L1529" s="37"/>
      <c r="M1529" s="37"/>
      <c r="N1529" s="37"/>
      <c r="O1529" s="37"/>
      <c r="P1529" s="37"/>
      <c r="Q1529" s="37"/>
      <c r="R1529" s="37"/>
      <c r="S1529" s="37"/>
      <c r="T1529" s="37"/>
      <c r="U1529" s="37"/>
    </row>
    <row r="1530" spans="1:21" ht="15.6">
      <c r="A1530" s="37"/>
      <c r="B1530" s="37"/>
      <c r="C1530" s="37"/>
      <c r="D1530" s="37"/>
      <c r="E1530" s="37"/>
      <c r="F1530" s="46"/>
      <c r="G1530" s="37"/>
      <c r="H1530" s="37"/>
      <c r="I1530" s="37"/>
      <c r="J1530" s="37"/>
      <c r="K1530" s="37"/>
      <c r="L1530" s="37"/>
      <c r="M1530" s="37"/>
      <c r="N1530" s="37"/>
      <c r="O1530" s="37"/>
      <c r="P1530" s="37"/>
      <c r="Q1530" s="37"/>
      <c r="R1530" s="37"/>
      <c r="S1530" s="37"/>
      <c r="T1530" s="37"/>
      <c r="U1530" s="37"/>
    </row>
    <row r="1531" spans="1:21" ht="15.6">
      <c r="A1531" s="37"/>
      <c r="B1531" s="37"/>
      <c r="C1531" s="37"/>
      <c r="D1531" s="37"/>
      <c r="E1531" s="37"/>
      <c r="F1531" s="46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</row>
    <row r="1532" spans="1:21" ht="15.6">
      <c r="A1532" s="37"/>
      <c r="B1532" s="37"/>
      <c r="C1532" s="37"/>
      <c r="D1532" s="37"/>
      <c r="E1532" s="37"/>
      <c r="F1532" s="46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</row>
    <row r="1533" spans="1:21" ht="15.6">
      <c r="A1533" s="37"/>
      <c r="B1533" s="37"/>
      <c r="C1533" s="37"/>
      <c r="D1533" s="37"/>
      <c r="E1533" s="37"/>
      <c r="F1533" s="46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</row>
    <row r="1534" spans="1:21" ht="15.6">
      <c r="A1534" s="37"/>
      <c r="B1534" s="37"/>
      <c r="C1534" s="37"/>
      <c r="D1534" s="37"/>
      <c r="E1534" s="37"/>
      <c r="F1534" s="46"/>
      <c r="G1534" s="37"/>
      <c r="H1534" s="37"/>
      <c r="I1534" s="37"/>
      <c r="J1534" s="37"/>
      <c r="K1534" s="37"/>
      <c r="L1534" s="37"/>
      <c r="M1534" s="37"/>
      <c r="N1534" s="37"/>
      <c r="O1534" s="37"/>
      <c r="P1534" s="37"/>
      <c r="Q1534" s="37"/>
      <c r="R1534" s="37"/>
      <c r="S1534" s="37"/>
      <c r="T1534" s="37"/>
      <c r="U1534" s="37"/>
    </row>
    <row r="1535" spans="1:21" ht="15.6">
      <c r="A1535" s="37"/>
      <c r="B1535" s="37"/>
      <c r="C1535" s="37"/>
      <c r="D1535" s="37"/>
      <c r="E1535" s="37"/>
      <c r="F1535" s="46"/>
      <c r="G1535" s="37"/>
      <c r="H1535" s="37"/>
      <c r="I1535" s="37"/>
      <c r="J1535" s="37"/>
      <c r="K1535" s="37"/>
      <c r="L1535" s="37"/>
      <c r="M1535" s="37"/>
      <c r="N1535" s="37"/>
      <c r="O1535" s="37"/>
      <c r="P1535" s="37"/>
      <c r="Q1535" s="37"/>
      <c r="R1535" s="37"/>
      <c r="S1535" s="37"/>
      <c r="T1535" s="37"/>
      <c r="U1535" s="37"/>
    </row>
    <row r="1536" spans="1:21" ht="15.6">
      <c r="A1536" s="37"/>
      <c r="B1536" s="37"/>
      <c r="C1536" s="37"/>
      <c r="D1536" s="37"/>
      <c r="E1536" s="37"/>
      <c r="F1536" s="46"/>
      <c r="G1536" s="37"/>
      <c r="H1536" s="37"/>
      <c r="I1536" s="37"/>
      <c r="J1536" s="37"/>
      <c r="K1536" s="37"/>
      <c r="L1536" s="37"/>
      <c r="M1536" s="37"/>
      <c r="N1536" s="37"/>
      <c r="O1536" s="37"/>
      <c r="P1536" s="37"/>
      <c r="Q1536" s="37"/>
      <c r="R1536" s="37"/>
      <c r="S1536" s="37"/>
      <c r="T1536" s="37"/>
      <c r="U1536" s="37"/>
    </row>
    <row r="1537" spans="1:21" ht="15.6">
      <c r="A1537" s="37"/>
      <c r="B1537" s="37"/>
      <c r="C1537" s="37"/>
      <c r="D1537" s="37"/>
      <c r="E1537" s="37"/>
      <c r="F1537" s="46"/>
      <c r="G1537" s="37"/>
      <c r="H1537" s="37"/>
      <c r="I1537" s="37"/>
      <c r="J1537" s="37"/>
      <c r="K1537" s="37"/>
      <c r="L1537" s="37"/>
      <c r="M1537" s="37"/>
      <c r="N1537" s="37"/>
      <c r="O1537" s="37"/>
      <c r="P1537" s="37"/>
      <c r="Q1537" s="37"/>
      <c r="R1537" s="37"/>
      <c r="S1537" s="37"/>
      <c r="T1537" s="37"/>
      <c r="U1537" s="37"/>
    </row>
    <row r="1538" spans="1:21" ht="15.6">
      <c r="A1538" s="37"/>
      <c r="B1538" s="37"/>
      <c r="C1538" s="37"/>
      <c r="D1538" s="37"/>
      <c r="E1538" s="37"/>
      <c r="F1538" s="46"/>
      <c r="G1538" s="37"/>
      <c r="H1538" s="37"/>
      <c r="I1538" s="37"/>
      <c r="J1538" s="37"/>
      <c r="K1538" s="37"/>
      <c r="L1538" s="37"/>
      <c r="M1538" s="37"/>
      <c r="N1538" s="37"/>
      <c r="O1538" s="37"/>
      <c r="P1538" s="37"/>
      <c r="Q1538" s="37"/>
      <c r="R1538" s="37"/>
      <c r="S1538" s="37"/>
      <c r="T1538" s="37"/>
      <c r="U1538" s="37"/>
    </row>
    <row r="1539" spans="1:21" ht="15.6">
      <c r="A1539" s="37"/>
      <c r="B1539" s="37"/>
      <c r="C1539" s="37"/>
      <c r="D1539" s="37"/>
      <c r="E1539" s="37"/>
      <c r="F1539" s="46"/>
      <c r="G1539" s="37"/>
      <c r="H1539" s="37"/>
      <c r="I1539" s="37"/>
      <c r="J1539" s="37"/>
      <c r="K1539" s="37"/>
      <c r="L1539" s="37"/>
      <c r="M1539" s="37"/>
      <c r="N1539" s="37"/>
      <c r="O1539" s="37"/>
      <c r="P1539" s="37"/>
      <c r="Q1539" s="37"/>
      <c r="R1539" s="37"/>
      <c r="S1539" s="37"/>
      <c r="T1539" s="37"/>
      <c r="U1539" s="37"/>
    </row>
    <row r="1540" spans="1:21" ht="15.6">
      <c r="A1540" s="37"/>
      <c r="B1540" s="37"/>
      <c r="C1540" s="37"/>
      <c r="D1540" s="37"/>
      <c r="E1540" s="37"/>
      <c r="F1540" s="46"/>
      <c r="G1540" s="37"/>
      <c r="H1540" s="37"/>
      <c r="I1540" s="37"/>
      <c r="J1540" s="37"/>
      <c r="K1540" s="37"/>
      <c r="L1540" s="37"/>
      <c r="M1540" s="37"/>
      <c r="N1540" s="37"/>
      <c r="O1540" s="37"/>
      <c r="P1540" s="37"/>
      <c r="Q1540" s="37"/>
      <c r="R1540" s="37"/>
      <c r="S1540" s="37"/>
      <c r="T1540" s="37"/>
      <c r="U1540" s="37"/>
    </row>
    <row r="1541" spans="1:21" ht="15.6">
      <c r="A1541" s="37"/>
      <c r="B1541" s="37"/>
      <c r="C1541" s="37"/>
      <c r="D1541" s="37"/>
      <c r="E1541" s="37"/>
      <c r="F1541" s="46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  <c r="S1541" s="37"/>
      <c r="T1541" s="37"/>
      <c r="U1541" s="37"/>
    </row>
    <row r="1542" spans="1:21" ht="15.6">
      <c r="A1542" s="37"/>
      <c r="B1542" s="37"/>
      <c r="C1542" s="37"/>
      <c r="D1542" s="37"/>
      <c r="E1542" s="37"/>
      <c r="F1542" s="46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  <c r="S1542" s="37"/>
      <c r="T1542" s="37"/>
      <c r="U1542" s="37"/>
    </row>
    <row r="1543" spans="1:21" ht="15.6">
      <c r="A1543" s="37"/>
      <c r="B1543" s="37"/>
      <c r="C1543" s="37"/>
      <c r="D1543" s="37"/>
      <c r="E1543" s="37"/>
      <c r="F1543" s="46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  <c r="S1543" s="37"/>
      <c r="T1543" s="37"/>
      <c r="U1543" s="37"/>
    </row>
    <row r="1544" spans="1:21" ht="15.6">
      <c r="A1544" s="37"/>
      <c r="B1544" s="37"/>
      <c r="C1544" s="37"/>
      <c r="D1544" s="37"/>
      <c r="E1544" s="37"/>
      <c r="F1544" s="46"/>
      <c r="G1544" s="37"/>
      <c r="H1544" s="37"/>
      <c r="I1544" s="37"/>
      <c r="J1544" s="37"/>
      <c r="K1544" s="37"/>
      <c r="L1544" s="37"/>
      <c r="M1544" s="37"/>
      <c r="N1544" s="37"/>
      <c r="O1544" s="37"/>
      <c r="P1544" s="37"/>
      <c r="Q1544" s="37"/>
      <c r="R1544" s="37"/>
      <c r="S1544" s="37"/>
      <c r="T1544" s="37"/>
      <c r="U1544" s="37"/>
    </row>
    <row r="1545" spans="1:21" ht="15.6">
      <c r="A1545" s="37"/>
      <c r="B1545" s="37"/>
      <c r="C1545" s="37"/>
      <c r="D1545" s="37"/>
      <c r="E1545" s="37"/>
      <c r="F1545" s="46"/>
      <c r="G1545" s="37"/>
      <c r="H1545" s="37"/>
      <c r="I1545" s="37"/>
      <c r="J1545" s="37"/>
      <c r="K1545" s="37"/>
      <c r="L1545" s="37"/>
      <c r="M1545" s="37"/>
      <c r="N1545" s="37"/>
      <c r="O1545" s="37"/>
      <c r="P1545" s="37"/>
      <c r="Q1545" s="37"/>
      <c r="R1545" s="37"/>
      <c r="S1545" s="37"/>
      <c r="T1545" s="37"/>
      <c r="U1545" s="37"/>
    </row>
    <row r="1546" spans="1:21" ht="15.6">
      <c r="A1546" s="37"/>
      <c r="B1546" s="37"/>
      <c r="C1546" s="37"/>
      <c r="D1546" s="37"/>
      <c r="E1546" s="37"/>
      <c r="F1546" s="46"/>
      <c r="G1546" s="37"/>
      <c r="H1546" s="37"/>
      <c r="I1546" s="37"/>
      <c r="J1546" s="37"/>
      <c r="K1546" s="37"/>
      <c r="L1546" s="37"/>
      <c r="M1546" s="37"/>
      <c r="N1546" s="37"/>
      <c r="O1546" s="37"/>
      <c r="P1546" s="37"/>
      <c r="Q1546" s="37"/>
      <c r="R1546" s="37"/>
      <c r="S1546" s="37"/>
      <c r="T1546" s="37"/>
      <c r="U1546" s="37"/>
    </row>
    <row r="1547" spans="1:21" ht="15.6">
      <c r="A1547" s="37"/>
      <c r="B1547" s="37"/>
      <c r="C1547" s="37"/>
      <c r="D1547" s="37"/>
      <c r="E1547" s="37"/>
      <c r="F1547" s="46"/>
      <c r="G1547" s="37"/>
      <c r="H1547" s="37"/>
      <c r="I1547" s="37"/>
      <c r="J1547" s="37"/>
      <c r="K1547" s="37"/>
      <c r="L1547" s="37"/>
      <c r="M1547" s="37"/>
      <c r="N1547" s="37"/>
      <c r="O1547" s="37"/>
      <c r="P1547" s="37"/>
      <c r="Q1547" s="37"/>
      <c r="R1547" s="37"/>
      <c r="S1547" s="37"/>
      <c r="T1547" s="37"/>
      <c r="U1547" s="37"/>
    </row>
    <row r="1548" spans="1:21" ht="15.6">
      <c r="A1548" s="37"/>
      <c r="B1548" s="37"/>
      <c r="C1548" s="37"/>
      <c r="D1548" s="37"/>
      <c r="E1548" s="37"/>
      <c r="F1548" s="46"/>
      <c r="G1548" s="37"/>
      <c r="H1548" s="37"/>
      <c r="I1548" s="37"/>
      <c r="J1548" s="37"/>
      <c r="K1548" s="37"/>
      <c r="L1548" s="37"/>
      <c r="M1548" s="37"/>
      <c r="N1548" s="37"/>
      <c r="O1548" s="37"/>
      <c r="P1548" s="37"/>
      <c r="Q1548" s="37"/>
      <c r="R1548" s="37"/>
      <c r="S1548" s="37"/>
      <c r="T1548" s="37"/>
      <c r="U1548" s="37"/>
    </row>
    <row r="1549" spans="1:21" ht="15.6">
      <c r="A1549" s="37"/>
      <c r="B1549" s="37"/>
      <c r="C1549" s="37"/>
      <c r="D1549" s="37"/>
      <c r="E1549" s="37"/>
      <c r="F1549" s="46"/>
      <c r="G1549" s="37"/>
      <c r="H1549" s="37"/>
      <c r="U1549" s="37"/>
    </row>
    <row r="1550" spans="1:21" ht="15.6">
      <c r="A1550" s="37"/>
      <c r="B1550" s="37"/>
      <c r="C1550" s="37"/>
      <c r="D1550" s="37"/>
      <c r="E1550" s="37"/>
      <c r="U1550" s="37"/>
    </row>
    <row r="1551" spans="1:21" ht="15.6">
      <c r="A1551" s="37"/>
      <c r="B1551" s="37"/>
      <c r="C1551" s="37"/>
      <c r="D1551" s="37"/>
      <c r="E1551" s="37"/>
      <c r="U1551" s="37"/>
    </row>
    <row r="1552" spans="1:21" ht="15.6">
      <c r="A1552" s="37"/>
      <c r="B1552" s="37"/>
      <c r="C1552" s="37"/>
      <c r="D1552" s="37"/>
      <c r="E1552" s="37"/>
      <c r="U1552" s="37"/>
    </row>
    <row r="1553" spans="1:21" ht="15.6">
      <c r="A1553" s="37"/>
      <c r="B1553" s="37"/>
      <c r="C1553" s="37"/>
      <c r="D1553" s="37"/>
      <c r="E1553" s="37"/>
      <c r="U1553" s="37"/>
    </row>
    <row r="1554" spans="1:21" ht="15.6">
      <c r="A1554" s="37"/>
      <c r="B1554" s="37"/>
      <c r="C1554" s="37"/>
      <c r="D1554" s="37"/>
      <c r="E1554" s="37"/>
      <c r="U1554" s="37"/>
    </row>
    <row r="1555" spans="1:21" ht="15.6">
      <c r="A1555" s="37"/>
      <c r="B1555" s="37"/>
      <c r="C1555" s="37"/>
      <c r="D1555" s="37"/>
      <c r="E1555" s="37"/>
      <c r="U1555" s="37"/>
    </row>
    <row r="1556" spans="1:21" ht="15.6">
      <c r="A1556" s="37"/>
      <c r="B1556" s="37"/>
      <c r="C1556" s="37"/>
      <c r="D1556" s="37"/>
      <c r="E1556" s="37"/>
      <c r="U1556" s="37"/>
    </row>
    <row r="1557" spans="1:21" ht="15.6">
      <c r="A1557" s="37"/>
      <c r="B1557" s="37"/>
      <c r="C1557" s="37"/>
      <c r="D1557" s="37"/>
      <c r="E1557" s="37"/>
    </row>
    <row r="1558" spans="1:21" ht="15.6">
      <c r="A1558" s="37"/>
      <c r="B1558" s="37"/>
      <c r="C1558" s="37"/>
      <c r="D1558" s="37"/>
      <c r="E1558" s="37"/>
    </row>
  </sheetData>
  <sheetProtection password="D89F" sheet="1" objects="1" scenarios="1"/>
  <mergeCells count="5">
    <mergeCell ref="I9:P9"/>
    <mergeCell ref="K13:P13"/>
    <mergeCell ref="K14:L14"/>
    <mergeCell ref="N14:O14"/>
    <mergeCell ref="R14:S14"/>
  </mergeCells>
  <pageMargins left="0.7" right="0.7" top="0.75" bottom="0.75" header="0.3" footer="0.3"/>
  <pageSetup scale="16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FIJA OCTUBRE 2023</vt:lpstr>
      <vt:lpstr>'NOMINA FIJA OCTUBRE 2023'!Área_de_impresión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2023-10-18T15:32:29Z</cp:lastPrinted>
  <dcterms:created xsi:type="dcterms:W3CDTF">2023-10-10T18:46:25Z</dcterms:created>
  <dcterms:modified xsi:type="dcterms:W3CDTF">2023-10-18T15:32:42Z</dcterms:modified>
</cp:coreProperties>
</file>